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6170" windowHeight="5895" tabRatio="831" activeTab="1"/>
  </bookViews>
  <sheets>
    <sheet name="CRONOGRAMA " sheetId="1" r:id="rId1"/>
    <sheet name="PLANILHA " sheetId="2" r:id="rId2"/>
    <sheet name="Planilha Resumida" sheetId="3" r:id="rId3"/>
    <sheet name="ESTRUTURA" sheetId="4" state="hidden" r:id="rId4"/>
    <sheet name="QUANTIDADES" sheetId="5" state="hidden" r:id="rId5"/>
  </sheets>
  <definedNames>
    <definedName name="_xlnm.Print_Area" localSheetId="0">'CRONOGRAMA '!$B$1:$T$55</definedName>
    <definedName name="_xlnm.Print_Area" localSheetId="1">'PLANILHA '!$B$1:$I$221</definedName>
    <definedName name="_xlnm.Print_Titles" localSheetId="0">'CRONOGRAMA '!$B:$E</definedName>
    <definedName name="_xlnm.Print_Titles" localSheetId="1">'PLANILHA '!$1:$6</definedName>
  </definedNames>
  <calcPr fullCalcOnLoad="1"/>
</workbook>
</file>

<file path=xl/sharedStrings.xml><?xml version="1.0" encoding="utf-8"?>
<sst xmlns="http://schemas.openxmlformats.org/spreadsheetml/2006/main" count="946" uniqueCount="430">
  <si>
    <t>Tomada 2P+T de 10 A - 250 V, completa</t>
  </si>
  <si>
    <t>Tomada 2P+T de 20 A - 250 V, completa</t>
  </si>
  <si>
    <t>Abrigo de hidrante de 2 1/2´ completo - inclusive mangueira de 30 m (2 x 15 m)</t>
  </si>
  <si>
    <t>VALOR GLOBAL</t>
  </si>
  <si>
    <t>Remoção de tubulação hidráulica em geral, incluindo conexões, caixas e ralos</t>
  </si>
  <si>
    <t>Alvenaria de bloco cerâmico de vedação, uso revestido, de 9 cm</t>
  </si>
  <si>
    <t>Vidro temperado incolor de 8 mm</t>
  </si>
  <si>
    <t>Eletroduto corrugado em polietileno de alta densidade, DN= 30 mm, com acessórios</t>
  </si>
  <si>
    <t>Eletroduto corrugado em polietileno de alta densidade, DN= 50 mm, com acessórios</t>
  </si>
  <si>
    <t>Cabo de cobre de 6 mm², isolamento 0,6/1 kV - isolação em PVC 70°C</t>
  </si>
  <si>
    <t>Cabo de cobre nu, têmpera mole, classe 2, de 35 mm²</t>
  </si>
  <si>
    <t>Caixa sifonada de PVC rígido de 100 x 150 x 50 mm, com grelha</t>
  </si>
  <si>
    <t>Botoeira para acionamento de bomba de incêndio tipo quebra-vidro</t>
  </si>
  <si>
    <t>Adaptador de engate rápido em latão de 2 1/2´ x 2 1/2´</t>
  </si>
  <si>
    <t>Tampão de engate rápido em latão, DN= 2 1/2´, com corrente</t>
  </si>
  <si>
    <t>Sirene audiovisual tipo endereçável</t>
  </si>
  <si>
    <t>Central de detecção e alarme de incêndio completa, autonomia de 1 hora para 12 laços, 220 V/12 V</t>
  </si>
  <si>
    <t>Extintor manual de pó químico seco ABC - capacidade de 4 kg</t>
  </si>
  <si>
    <t>Extintor manual de pó químico seco ABC - capacidade de 6 kg</t>
  </si>
  <si>
    <t>Limpeza final da obra</t>
  </si>
  <si>
    <t>Tomada para TV, tipo pino Jack, com placa</t>
  </si>
  <si>
    <t>Joelho 45° em ferro fundido, linha predial tradicional, DN= 75 mm</t>
  </si>
  <si>
    <t>Joelho 87° 30´ em ferro fundido, linha predial tradicional, DN= 75 mm</t>
  </si>
  <si>
    <t>Te sanitário 87° 30´ em ferro fundido, linha predial tradicional, DN= 75 x 75 mm</t>
  </si>
  <si>
    <t>Registro de gaveta em latão fundido sem acabamento, DN= 3/4´</t>
  </si>
  <si>
    <t>Registro de gaveta em latão fundido sem acabamento, DN= 1 1/2´</t>
  </si>
  <si>
    <t>Registro de gaveta em latão fundido sem acabamento, DN= 2 1/2´</t>
  </si>
  <si>
    <t>Registro de pressão em latão fundido sem acabamento, DN= 3/4´</t>
  </si>
  <si>
    <t>Válvula de retenção horizontal em bronze, DN= 2 1/2´</t>
  </si>
  <si>
    <t>Válvula globo angular de 45° em bronze, DN= 2 1/2´</t>
  </si>
  <si>
    <t>Niple duplo galvanizado de 2´</t>
  </si>
  <si>
    <t>Meia saboneteira de louça de embutir</t>
  </si>
  <si>
    <t>Torneira de mesa para lavatório, acionamento hidromecânico com alavanca, registro integrado regulador de vazão, em latão cromado, DN= 1/2´</t>
  </si>
  <si>
    <t>Sifão plástico sanfonado universal de 1´</t>
  </si>
  <si>
    <t>Válvula americana</t>
  </si>
  <si>
    <t>Cabo de cobre de 1,5 mm², isolamento 750 V - isolação em PVC 70°C</t>
  </si>
  <si>
    <t>Cabo de cobre de 1,5 mm², isolamento 0,6/1 kV - isolação em PVC 70°C</t>
  </si>
  <si>
    <t>Cabo de cobre de 2,5 mm², isolamento 0,6/1 kV - isolação em PVC 70°C</t>
  </si>
  <si>
    <t>Interruptor com 1 tecla simples e placa</t>
  </si>
  <si>
    <t>Condulete metálico de 3/4´</t>
  </si>
  <si>
    <t>Impermeabilização em pintura de asfalto oxidado com solventes orgânicos, sobre massa</t>
  </si>
  <si>
    <t>Massa corrida a base de PVA</t>
  </si>
  <si>
    <t>Base de fusível NH até 125 A, com fusível</t>
  </si>
  <si>
    <t>Disjuntor termomagnético, unipolar 127/220 V, corrente de 10 A até 30 A</t>
  </si>
  <si>
    <t>Disjuntor termomagnético, tripolar 220/380 V, corrente de 60 A até 100 A</t>
  </si>
  <si>
    <t>Vidro temperado incolor de 10 mm</t>
  </si>
  <si>
    <t>Lavatório de louça para canto sem coluna para pessoas com mobilidade reduzida</t>
  </si>
  <si>
    <t>Forma em madeira comum para fundação</t>
  </si>
  <si>
    <t>Forma em madeira comum para estrutura</t>
  </si>
  <si>
    <t>Armadura em barra de aço CA-25 fyk = 250 MPa</t>
  </si>
  <si>
    <t>Lançamento e adensamento de concreto ou massa em fundação</t>
  </si>
  <si>
    <t>Lançamento e adensamento de concreto ou massa em estrutura</t>
  </si>
  <si>
    <t>Lastro de pedra britada</t>
  </si>
  <si>
    <t>Broca em concreto armado diâmetro de 25 cm - completa</t>
  </si>
  <si>
    <t>Alvenaria de embasamento em tijolo maciço comum</t>
  </si>
  <si>
    <t>Domo de acrílico fixado em perfis de alumínio</t>
  </si>
  <si>
    <t>Regularização de piso com nata de cimento</t>
  </si>
  <si>
    <t>Chapisco</t>
  </si>
  <si>
    <t>Emboço comum</t>
  </si>
  <si>
    <t>Reboco</t>
  </si>
  <si>
    <t>Piso com requadro em concreto simples sem controle de fck</t>
  </si>
  <si>
    <t>TOTAL</t>
  </si>
  <si>
    <t xml:space="preserve"> </t>
  </si>
  <si>
    <t>OBRA</t>
  </si>
  <si>
    <t>LOCAL</t>
  </si>
  <si>
    <t>FONTE</t>
  </si>
  <si>
    <t>CÓDIGO</t>
  </si>
  <si>
    <t>DESCRIÇÃO</t>
  </si>
  <si>
    <t>UNID.</t>
  </si>
  <si>
    <t>QUANT.</t>
  </si>
  <si>
    <t>Tapume fixo para fechamento de áreas, com portão</t>
  </si>
  <si>
    <t>Placa de identificação para obra</t>
  </si>
  <si>
    <t>Locação de obra de edificação</t>
  </si>
  <si>
    <t>Demolição manual de alvenaria de fundação/embasamento</t>
  </si>
  <si>
    <t>Demolição manual de forro qualquer, inclusive sistema de fixação/tarugamento</t>
  </si>
  <si>
    <t>Retirada de divisória em placa de madeira ou fibrocimento tarugada</t>
  </si>
  <si>
    <t>Retirada de forro qualquer em placas ou tiras apoiadas</t>
  </si>
  <si>
    <t>Retirada de folha de esquadria em madeira</t>
  </si>
  <si>
    <t>Retirada de bancada incluindo pertences</t>
  </si>
  <si>
    <t>Retirada de registro ou válvula aparentes</t>
  </si>
  <si>
    <t>Retirada de torneira ou chuveiro</t>
  </si>
  <si>
    <t>Remoção de reservatório em fibrocimento até 1000 litros</t>
  </si>
  <si>
    <t>Escavação manual em solo de 1ª e 2ª categoria em campo aberto</t>
  </si>
  <si>
    <t>Reaterro manual para simples regularização sem compactação</t>
  </si>
  <si>
    <t>Aterro manual apiloado de área interna com maço de 30 kg</t>
  </si>
  <si>
    <t>PINTURA</t>
  </si>
  <si>
    <t>Tinta acrílica antimofo em massa, inclusive preparo</t>
  </si>
  <si>
    <t>Quadro de distribuição universal de embutir, para disjuntores 34 DIN / 24 Bolt-on - 150 A - sem componentes</t>
  </si>
  <si>
    <t>Retirada de complemento sanitário fixado ou de sobrepor</t>
  </si>
  <si>
    <t>Disjuntores</t>
  </si>
  <si>
    <t>Caixa de ferro estampada 4´ x 2´</t>
  </si>
  <si>
    <t>Caixa de ferro estampada 4´ x 4´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</si>
  <si>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</si>
  <si>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</si>
  <si>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</si>
  <si>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</si>
  <si>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50 mm, inclusive conexões</t>
  </si>
  <si>
    <t>Tubo de PVC rígido branco PxB com virola e anel de borracha, linha esgoto série normal, DN= 100 mm, inclusive conexões</t>
  </si>
  <si>
    <t>02.02.140</t>
  </si>
  <si>
    <t>Locação de container tipo sanitário com 2 vasos sanitários, 2 lavatórios, 2 mictórios e 4 pontos para chuveiro - área mínima de 13,80 m²</t>
  </si>
  <si>
    <t>02.03.120</t>
  </si>
  <si>
    <t>Andaime torre metálico (1,5 x 1,5 m) com piso metálico</t>
  </si>
  <si>
    <t>Andaime tubular fachadeiro com piso metálico e sapatas ajustáveis</t>
  </si>
  <si>
    <t>02.08.020</t>
  </si>
  <si>
    <t>02.10.020</t>
  </si>
  <si>
    <t>03.02.020</t>
  </si>
  <si>
    <t>03.08.040</t>
  </si>
  <si>
    <t>03.08.200</t>
  </si>
  <si>
    <t>Demolição manual de painéis divisórias, inclusive montantes metálicos</t>
  </si>
  <si>
    <t>04.01.020</t>
  </si>
  <si>
    <t>04.07.040</t>
  </si>
  <si>
    <t>04.08.020</t>
  </si>
  <si>
    <t>04.11.030</t>
  </si>
  <si>
    <t>04.11.060</t>
  </si>
  <si>
    <t>04.11.100</t>
  </si>
  <si>
    <t>04.11.120</t>
  </si>
  <si>
    <t>04.22.110</t>
  </si>
  <si>
    <t>Remoção de tubulação elétrica aparente com diâmetro externo até 50 mm</t>
  </si>
  <si>
    <t>04.30.060</t>
  </si>
  <si>
    <t>04.30.100</t>
  </si>
  <si>
    <t>05.07.040</t>
  </si>
  <si>
    <t>Remoção de entulho separado de obra com caçamba metálica - terra, alvenaria, concreto, argamassa, madeira, papel, plástico ou metal</t>
  </si>
  <si>
    <t>06.01.020</t>
  </si>
  <si>
    <t>06.02.020</t>
  </si>
  <si>
    <t>06.11.020</t>
  </si>
  <si>
    <t>06.12.020</t>
  </si>
  <si>
    <t>FORMA</t>
  </si>
  <si>
    <t>09.01.020</t>
  </si>
  <si>
    <t>09.01.030</t>
  </si>
  <si>
    <t>10.01.020</t>
  </si>
  <si>
    <t>10.01.040</t>
  </si>
  <si>
    <t>11.01.100</t>
  </si>
  <si>
    <t>11.03.090</t>
  </si>
  <si>
    <t>11.16.040</t>
  </si>
  <si>
    <t>11.16.060</t>
  </si>
  <si>
    <t>11.18.040</t>
  </si>
  <si>
    <t>14.01.020</t>
  </si>
  <si>
    <t>14.04.200</t>
  </si>
  <si>
    <t>16.30.020</t>
  </si>
  <si>
    <t>17.01.050</t>
  </si>
  <si>
    <t>17.02.020</t>
  </si>
  <si>
    <t>17.02.120</t>
  </si>
  <si>
    <t>17.02.220</t>
  </si>
  <si>
    <t>17.05.020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</si>
  <si>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</si>
  <si>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</si>
  <si>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18.08.090</t>
  </si>
  <si>
    <t>18.08.100</t>
  </si>
  <si>
    <t>22.02.100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</si>
  <si>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</si>
  <si>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</si>
  <si>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</si>
  <si>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</si>
  <si>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25.01.090</t>
  </si>
  <si>
    <t>Caixilho em alumínio tipo veneziana com vidro, linha comercial</t>
  </si>
  <si>
    <t>26.02.040</t>
  </si>
  <si>
    <t>26.02.060</t>
  </si>
  <si>
    <t>28.01.030</t>
  </si>
  <si>
    <t>30.08.040</t>
  </si>
  <si>
    <t>30.08.060</t>
  </si>
  <si>
    <t>32.16.010</t>
  </si>
  <si>
    <t>33.02.060</t>
  </si>
  <si>
    <t>33.10.030</t>
  </si>
  <si>
    <t>37.03.220</t>
  </si>
  <si>
    <t>37.11.060</t>
  </si>
  <si>
    <t>37.13.600</t>
  </si>
  <si>
    <t>37.13.660</t>
  </si>
  <si>
    <t>38.13.010</t>
  </si>
  <si>
    <t>38.13.020</t>
  </si>
  <si>
    <t>39.02.010</t>
  </si>
  <si>
    <t>39.03.160</t>
  </si>
  <si>
    <t>39.03.170</t>
  </si>
  <si>
    <t>39.03.174</t>
  </si>
  <si>
    <t>Cabo de cobre de 4 mm², isolamento 0,6/1 kV - isolação em PVC 70°C.</t>
  </si>
  <si>
    <t>39.03.178</t>
  </si>
  <si>
    <t>39.04.070</t>
  </si>
  <si>
    <t>39.12.510</t>
  </si>
  <si>
    <t>Cabo de cobre flexível blindado de 2 x 1,5 mm², isolamento 600V, isolação em VC/E 105°C - para detecção de incêndio</t>
  </si>
  <si>
    <t>39.21.060</t>
  </si>
  <si>
    <t>Cabo de cobre flexível de 16 mm², isolamento 0,6/1kV - isolação HEPR 90°C</t>
  </si>
  <si>
    <t>40.01.020</t>
  </si>
  <si>
    <t>40.01.040</t>
  </si>
  <si>
    <t>40.04.450</t>
  </si>
  <si>
    <t>40.04.460</t>
  </si>
  <si>
    <t>40.05.020</t>
  </si>
  <si>
    <t>40.06.040</t>
  </si>
  <si>
    <t>41.14.640</t>
  </si>
  <si>
    <t>42.01.080</t>
  </si>
  <si>
    <t>43.02.080</t>
  </si>
  <si>
    <t>43.10.250</t>
  </si>
  <si>
    <t>Conjunto motor-bomba (centrífuga) 15 cv, monoestágio, Hman= 30 a 60 mca, Q= 82 a 20 m³/h</t>
  </si>
  <si>
    <t>43.10.452</t>
  </si>
  <si>
    <t>Conjunto motor-bomba (centrífuga) 1,5 cv, multiestágio, Hman= 20 a 35 mca, Q= 7,1 a 4,5 m³/h</t>
  </si>
  <si>
    <t>44.03.010</t>
  </si>
  <si>
    <t>Dispenser toalheiro em ABS e policarbonato para bobina de 20 cm x 200 m, com alavanca</t>
  </si>
  <si>
    <t>44.03.020</t>
  </si>
  <si>
    <t>44.03.050</t>
  </si>
  <si>
    <t>Dispenser papel higiênico em ABS para rolão 300 / 600 m, com visor</t>
  </si>
  <si>
    <t>44.03.720</t>
  </si>
  <si>
    <t>44.20.010</t>
  </si>
  <si>
    <t>44.20.620</t>
  </si>
  <si>
    <t>46.01.020</t>
  </si>
  <si>
    <t>46.01.030</t>
  </si>
  <si>
    <t>46.01.050</t>
  </si>
  <si>
    <t>46.02.010</t>
  </si>
  <si>
    <t>46.02.050</t>
  </si>
  <si>
    <t>46.02.070</t>
  </si>
  <si>
    <t>46.07.020</t>
  </si>
  <si>
    <t>Tubo galvanizado DN= 3/4´, inclusive conexões</t>
  </si>
  <si>
    <t>46.07.070</t>
  </si>
  <si>
    <t>Tubo galvanizado DN= 2 1/2´, inclusive conexões</t>
  </si>
  <si>
    <t>46.09.060</t>
  </si>
  <si>
    <t>46.09.110</t>
  </si>
  <si>
    <t>46.09.340</t>
  </si>
  <si>
    <t>46.26.070</t>
  </si>
  <si>
    <t>47.01.020</t>
  </si>
  <si>
    <t>47.01.050</t>
  </si>
  <si>
    <t>47.01.070</t>
  </si>
  <si>
    <t>47.01.130</t>
  </si>
  <si>
    <t>47.05.060</t>
  </si>
  <si>
    <t>47.05.280</t>
  </si>
  <si>
    <t>49.01.020</t>
  </si>
  <si>
    <t>49.06.420</t>
  </si>
  <si>
    <t>50.01.090</t>
  </si>
  <si>
    <t>50.01.110</t>
  </si>
  <si>
    <t>50.01.170</t>
  </si>
  <si>
    <t>50.01.190</t>
  </si>
  <si>
    <t>50.01.330</t>
  </si>
  <si>
    <t>50.05.230</t>
  </si>
  <si>
    <t>50.05.270</t>
  </si>
  <si>
    <t>50.05.430</t>
  </si>
  <si>
    <t>Detector óptico de fumaça com base endereçável</t>
  </si>
  <si>
    <t>50.10.110</t>
  </si>
  <si>
    <t>50.10.120</t>
  </si>
  <si>
    <t>55.01.020</t>
  </si>
  <si>
    <t>69.20.340</t>
  </si>
  <si>
    <t>97.02.195</t>
  </si>
  <si>
    <t>01.02.091</t>
  </si>
  <si>
    <t>Parecer técnico de fundações, contenções e recomendações gerais, para empreendimentos com área construída de 2.001 a 5.000 m²</t>
  </si>
  <si>
    <t>Armadura em barra de aço CA-50 (A ou B) fyk = 500 MPa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</si>
  <si>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</si>
  <si>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</si>
  <si>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Forro em painéis de gesso acartonado, acabamento liso com película em PVC - 625mm x 1250mm, espessura de 9,5mm, removível</t>
  </si>
  <si>
    <t>41.02.551</t>
  </si>
  <si>
    <t>Tampão em ferro fundido, diâmetro de 600 mm, classe D 400 (ruptura&gt; 400 kN)</t>
  </si>
  <si>
    <t>Esguicho em latão com engate rápido, DN= 2 1/2´, jato regulável</t>
  </si>
  <si>
    <t>PISO</t>
  </si>
  <si>
    <t>ESQUADRIAS</t>
  </si>
  <si>
    <t>02.05.202</t>
  </si>
  <si>
    <t>02.05.212</t>
  </si>
  <si>
    <t>Escavação manual em solo de 1ª e 2ª categoria em vala ou cava até 1,5 m</t>
  </si>
  <si>
    <t>Concreto usinado, fck = 20 MPa</t>
  </si>
  <si>
    <t>Concreto preparado no local, fck = 20 MPa</t>
  </si>
  <si>
    <t>Ferragem completa com maçaneta tipo alavanca, para porta externa com 2 folhas</t>
  </si>
  <si>
    <t>33.11.050</t>
  </si>
  <si>
    <t>Esmalte à base água em superfície metálica, inclusive preparo</t>
  </si>
  <si>
    <t>41.02.562</t>
  </si>
  <si>
    <t>Chuveiro elétrico de 6.500W / 220V com resistência blindada</t>
  </si>
  <si>
    <t>Bacia sifonada de louça para pessoas com mobilidade reduzida - capacidade de 6 litros</t>
  </si>
  <si>
    <t>Junta de união em aço inoxidável para tubo em ferro fundido predial SMU, DN= 75 mm</t>
  </si>
  <si>
    <t>Placa de sinalização em PVC fotoluminescente (240x120mm), com indicação de rota de evacuação e saída de emergência</t>
  </si>
  <si>
    <t>12.01.041</t>
  </si>
  <si>
    <t>COMPR.</t>
  </si>
  <si>
    <t>LARGURA</t>
  </si>
  <si>
    <t>ml</t>
  </si>
  <si>
    <t>EXTERNO</t>
  </si>
  <si>
    <t>CDHU</t>
  </si>
  <si>
    <t>COBERTURA</t>
  </si>
  <si>
    <t>ÁGUA</t>
  </si>
  <si>
    <t>Tubulação - Água</t>
  </si>
  <si>
    <t>Registro</t>
  </si>
  <si>
    <t>ESGOTO</t>
  </si>
  <si>
    <t>Tubulação</t>
  </si>
  <si>
    <t>LOUÇAS E METAIS</t>
  </si>
  <si>
    <t>L.S.:</t>
  </si>
  <si>
    <t>UN</t>
  </si>
  <si>
    <t>M2</t>
  </si>
  <si>
    <t>M</t>
  </si>
  <si>
    <t>M3</t>
  </si>
  <si>
    <t>CJ</t>
  </si>
  <si>
    <t>UNMES</t>
  </si>
  <si>
    <t>M2MES</t>
  </si>
  <si>
    <t>MXMES</t>
  </si>
  <si>
    <t>KG</t>
  </si>
  <si>
    <t>JACI</t>
  </si>
  <si>
    <t>CIDADE</t>
  </si>
  <si>
    <t>SERVIÇOS PRELIMINARES</t>
  </si>
  <si>
    <t>LOCAÇÃO DAS OBRA DE EDIFICAÇÃO</t>
  </si>
  <si>
    <t>FUNDAÇÃO</t>
  </si>
  <si>
    <t>ESTACAS PERFURADAS</t>
  </si>
  <si>
    <t>BLOCO-50x50x50</t>
  </si>
  <si>
    <t>BALDRAME</t>
  </si>
  <si>
    <t>ESTRUTURA</t>
  </si>
  <si>
    <t>PILARES</t>
  </si>
  <si>
    <t xml:space="preserve">ALVENARIA </t>
  </si>
  <si>
    <t>PORTAS INTERNAS</t>
  </si>
  <si>
    <t>REVESTIMENTO</t>
  </si>
  <si>
    <t>REBOCO DAS PAREDES</t>
  </si>
  <si>
    <t>INTERNO</t>
  </si>
  <si>
    <t xml:space="preserve">Acessórios </t>
  </si>
  <si>
    <t>INSTALAÇÕES ELETRICAS</t>
  </si>
  <si>
    <t>Entrada de Energia</t>
  </si>
  <si>
    <t>Cx Estampadas</t>
  </si>
  <si>
    <t>Fiação</t>
  </si>
  <si>
    <t>Tomadas e Interruptor</t>
  </si>
  <si>
    <t>Iluminação</t>
  </si>
  <si>
    <t>Interna</t>
  </si>
  <si>
    <t>Externa</t>
  </si>
  <si>
    <t>TABELA DE FERRAGEM</t>
  </si>
  <si>
    <t>CONSTRUÇÃO DE 2 SALAS DE AULA</t>
  </si>
  <si>
    <t>CRECHE "ANA MALDONADO BERTO"</t>
  </si>
  <si>
    <t>BROCAS PERFURADAS</t>
  </si>
  <si>
    <t>unidade</t>
  </si>
  <si>
    <t>QUADRO DE FERRAGEM</t>
  </si>
  <si>
    <t>Nº</t>
  </si>
  <si>
    <t>DIAMETRO</t>
  </si>
  <si>
    <t>5,0mm</t>
  </si>
  <si>
    <t>10mm</t>
  </si>
  <si>
    <t>QUADRO DE PESO</t>
  </si>
  <si>
    <t>PESO</t>
  </si>
  <si>
    <t>TOTAL - KG +10%</t>
  </si>
  <si>
    <t>QUADRO DE BARRAS</t>
  </si>
  <si>
    <t>BARRAS</t>
  </si>
  <si>
    <t>TOTAL - KG + 10%</t>
  </si>
  <si>
    <t>KG/M²</t>
  </si>
  <si>
    <t>CONCRETO</t>
  </si>
  <si>
    <t>PROFUND.</t>
  </si>
  <si>
    <t>ML</t>
  </si>
  <si>
    <t>Ø</t>
  </si>
  <si>
    <t>VOLUME (m3)</t>
  </si>
  <si>
    <t>BLOCO</t>
  </si>
  <si>
    <t>100X50X50</t>
  </si>
  <si>
    <t>50X50X50</t>
  </si>
  <si>
    <t>8,0mm</t>
  </si>
  <si>
    <t xml:space="preserve">3 a 5 </t>
  </si>
  <si>
    <t>8mm</t>
  </si>
  <si>
    <t xml:space="preserve">CONCRETO </t>
  </si>
  <si>
    <t>QUANT</t>
  </si>
  <si>
    <t>LATERAL</t>
  </si>
  <si>
    <t>ALTURA</t>
  </si>
  <si>
    <t>FORMA / 3</t>
  </si>
  <si>
    <t>BALDRAMES</t>
  </si>
  <si>
    <t>7 e 8</t>
  </si>
  <si>
    <t>COMPRIMENTO</t>
  </si>
  <si>
    <t>LADOS</t>
  </si>
  <si>
    <t xml:space="preserve">PILARES </t>
  </si>
  <si>
    <t>13x30</t>
  </si>
  <si>
    <t>10x20</t>
  </si>
  <si>
    <t>100x15</t>
  </si>
  <si>
    <t>5mm</t>
  </si>
  <si>
    <t>9a</t>
  </si>
  <si>
    <t>10a</t>
  </si>
  <si>
    <t>12,5mm</t>
  </si>
  <si>
    <t>TOTAL - KG</t>
  </si>
  <si>
    <t>9;  9a e 11</t>
  </si>
  <si>
    <t>10 e 10a</t>
  </si>
  <si>
    <t>PAREDE E RESPALDO</t>
  </si>
  <si>
    <t>13 e 15</t>
  </si>
  <si>
    <t>RESUMO</t>
  </si>
  <si>
    <t>12,5mmm</t>
  </si>
  <si>
    <t>TOTAL + 10%</t>
  </si>
  <si>
    <t>KG/m3</t>
  </si>
  <si>
    <t>R$ TOTAL</t>
  </si>
  <si>
    <t>MÊS 1</t>
  </si>
  <si>
    <t>MÊS 2</t>
  </si>
  <si>
    <t>MÊS 3</t>
  </si>
  <si>
    <t>MÊS 4</t>
  </si>
  <si>
    <t>MÊS 5</t>
  </si>
  <si>
    <t>MÊS 6</t>
  </si>
  <si>
    <t>TOTAL  MENSAL</t>
  </si>
  <si>
    <t>ACUMULADO</t>
  </si>
  <si>
    <t>INSTALAÇÕES HIDRAULICA,  LOUÇAS E METAIS</t>
  </si>
  <si>
    <t>BROCAS</t>
  </si>
  <si>
    <t>ALVENARIA</t>
  </si>
  <si>
    <t>AREA</t>
  </si>
  <si>
    <t>AREA COBERTURA</t>
  </si>
  <si>
    <t>COMEEIRA</t>
  </si>
  <si>
    <t>CLAHA OU RUFO</t>
  </si>
  <si>
    <t>JANELAS E PORTAS DE VIDROS TEMPERADO</t>
  </si>
  <si>
    <t>VIDRO 8MM</t>
  </si>
  <si>
    <t>CLARABOIA/DOMO</t>
  </si>
  <si>
    <t>REVEST. AZULEJO</t>
  </si>
  <si>
    <t>AREA PISO</t>
  </si>
  <si>
    <t>CALÇAMENTO</t>
  </si>
  <si>
    <t>Latex</t>
  </si>
  <si>
    <t>Massa Parede</t>
  </si>
  <si>
    <t>Massa Laje</t>
  </si>
  <si>
    <t>Banh</t>
  </si>
  <si>
    <t>Dorm</t>
  </si>
  <si>
    <t>Circ</t>
  </si>
  <si>
    <t>Area</t>
  </si>
  <si>
    <t>Exames</t>
  </si>
  <si>
    <t xml:space="preserve">x </t>
  </si>
  <si>
    <t>Postp</t>
  </si>
  <si>
    <t>Par Exet</t>
  </si>
  <si>
    <t>Par. Int</t>
  </si>
  <si>
    <t>Venezianas</t>
  </si>
  <si>
    <t>RODAPE</t>
  </si>
  <si>
    <t>PERIMETRO</t>
  </si>
  <si>
    <t>Rua do Hospital, 135 - Porto Primavera - Rosana -SP</t>
  </si>
  <si>
    <t>SISTEMA DE COMBATE A INCÊNDIO</t>
  </si>
  <si>
    <t>DEMOLIÇÃO</t>
  </si>
  <si>
    <t>MÊS 7</t>
  </si>
  <si>
    <t>MÊS 8</t>
  </si>
  <si>
    <t>MÊS 9</t>
  </si>
  <si>
    <t>MÊS 10</t>
  </si>
  <si>
    <t>FORRO</t>
  </si>
  <si>
    <t>Lâmpada LED tubular T8 com base G13, de 1850 até 2000 Im - 18 a 20 W</t>
  </si>
  <si>
    <t>Lâmpada LED tubular T8 com base G13, de 3400 até 4000 Im - 36 a 40 W</t>
  </si>
  <si>
    <t>Luminária retangular de embutir tipo calha aberta com refletor em alumínio de alto brilho para 2 lâmpadas fluorescentes tubulares de 28 W/54 W</t>
  </si>
  <si>
    <t/>
  </si>
  <si>
    <t>Limpeza final de obra</t>
  </si>
  <si>
    <t>Administração local, mobilização e desmobilização</t>
  </si>
  <si>
    <t>Administração local, mobilização e desmobilização. (adaptado de Maçahiko Tisaka - Orçamento na Contrução Civil - PINI) - Incluindo engenheiro junior e funcionários de limpeza, materiais e equipamentos para adm local, mob e desmob.</t>
  </si>
  <si>
    <t>GL</t>
  </si>
  <si>
    <t>Obra</t>
  </si>
  <si>
    <t>Local</t>
  </si>
  <si>
    <t>MÊS 11</t>
  </si>
  <si>
    <t>MÊS 12</t>
  </si>
  <si>
    <t>MÊS 13</t>
  </si>
  <si>
    <t>MÊS 14</t>
  </si>
  <si>
    <t>MÊS 15</t>
  </si>
  <si>
    <t>REFORMA E AMPLIAÇÃO DE HOSPITAL</t>
  </si>
  <si>
    <t>B.D.I.=</t>
  </si>
  <si>
    <t>Acórdão 2622/2013 TCU</t>
  </si>
  <si>
    <t>$ UNIT. C/ BDI</t>
  </si>
  <si>
    <t xml:space="preserve">$ UNIT. </t>
  </si>
  <si>
    <t xml:space="preserve">   MODELO PLANILHA    ORÇAMENTÁRIA</t>
  </si>
  <si>
    <t>MODELO PLANILHA RESUMO</t>
  </si>
  <si>
    <t>MODELO CRONOGRAMA FISICO FINANCEIRO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</si>
</sst>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0.0"/>
    <numFmt numFmtId="180" formatCode="#,##0.000"/>
    <numFmt numFmtId="181" formatCode="#,##0.0"/>
    <numFmt numFmtId="182" formatCode="dd/mm/yy"/>
    <numFmt numFmtId="183" formatCode="0_)"/>
    <numFmt numFmtId="184" formatCode="&quot;R$&quot;\ #,##0.00"/>
    <numFmt numFmtId="185" formatCode="0.0_)"/>
    <numFmt numFmtId="186" formatCode="0.00_)"/>
    <numFmt numFmtId="187" formatCode="0.0%"/>
    <numFmt numFmtId="188" formatCode="0.000%"/>
    <numFmt numFmtId="189" formatCode="0.0000%"/>
    <numFmt numFmtId="190" formatCode="0.00000%"/>
    <numFmt numFmtId="191" formatCode="#,##0.0000"/>
    <numFmt numFmtId="192" formatCode="0.0000000"/>
    <numFmt numFmtId="193" formatCode="0.000000"/>
    <numFmt numFmtId="194" formatCode="0.00000"/>
    <numFmt numFmtId="195" formatCode="0.0000"/>
    <numFmt numFmtId="196" formatCode="[$-416]dddd\,\ d&quot; de &quot;mmmm&quot; de &quot;yyyy"/>
    <numFmt numFmtId="197" formatCode="[$-416]mmmm\-yy;@"/>
    <numFmt numFmtId="198" formatCode="#,##0.00_ ;\-#,##0.00\ "/>
    <numFmt numFmtId="199" formatCode="&quot;Sim&quot;;&quot;Sim&quot;;&quot;Não&quot;"/>
    <numFmt numFmtId="200" formatCode="&quot;Verdadeiro&quot;;&quot;Verdadeiro&quot;;&quot;Falso&quot;"/>
    <numFmt numFmtId="201" formatCode="&quot;Ativado&quot;;&quot;Ativado&quot;;&quot;Desativado&quot;"/>
    <numFmt numFmtId="202" formatCode="[$€-2]\ #,##0.00_);[Red]\([$€-2]\ #,##0.00\)"/>
    <numFmt numFmtId="203" formatCode="dd/mm/yy"/>
    <numFmt numFmtId="204" formatCode="_-[$R$-416]\ * #,##0.00_-;\-[$R$-416]\ * #,##0.00_-;_-[$R$-416]\ * &quot;-&quot;??_-;_-@_-"/>
    <numFmt numFmtId="205" formatCode="0.000_)"/>
    <numFmt numFmtId="206" formatCode="0.000000_)"/>
    <numFmt numFmtId="207" formatCode="&quot;R$&quot;#,##0.00"/>
    <numFmt numFmtId="208" formatCode="_(* #,##0.000_);_(* \(#,##0.000\);_(* &quot;-&quot;??_);_(@_)"/>
    <numFmt numFmtId="209" formatCode="_-* #,##0.00_-;\-* #,##0.00_-;_-* \-??_-;_-@_-"/>
    <numFmt numFmtId="210" formatCode="_(* #,##0.00_);_(* \(#,##0.00\);_(* \-??_);_(@_)"/>
    <numFmt numFmtId="211" formatCode="_-&quot;R$ &quot;* #,##0.00_-;&quot;-R$ &quot;* #,##0.00_-;_-&quot;R$ &quot;* \-??_-;_-@_-"/>
    <numFmt numFmtId="212" formatCode="0.000000%"/>
  </numFmts>
  <fonts count="9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9.85"/>
      <color indexed="8"/>
      <name val="Times New Roman"/>
      <family val="1"/>
    </font>
    <font>
      <sz val="14"/>
      <name val="Arial Black"/>
      <family val="2"/>
    </font>
    <font>
      <sz val="16"/>
      <name val="Arial Black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 Black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 Black"/>
      <family val="2"/>
    </font>
    <font>
      <sz val="12"/>
      <color indexed="9"/>
      <name val="Arial"/>
      <family val="2"/>
    </font>
    <font>
      <b/>
      <sz val="28"/>
      <color indexed="8"/>
      <name val="Arial"/>
      <family val="2"/>
    </font>
    <font>
      <b/>
      <sz val="16"/>
      <name val="Arial Black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002060"/>
      <name val="Arial"/>
      <family val="2"/>
    </font>
    <font>
      <b/>
      <sz val="16"/>
      <color rgb="FFFF0000"/>
      <name val="Arial"/>
      <family val="2"/>
    </font>
    <font>
      <b/>
      <sz val="12"/>
      <color rgb="FF00206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2" fillId="3" borderId="0" applyNumberFormat="0" applyBorder="0" applyAlignment="0" applyProtection="0"/>
    <xf numFmtId="0" fontId="68" fillId="4" borderId="0" applyNumberFormat="0" applyBorder="0" applyAlignment="0" applyProtection="0"/>
    <xf numFmtId="0" fontId="12" fillId="5" borderId="0" applyNumberFormat="0" applyBorder="0" applyAlignment="0" applyProtection="0"/>
    <xf numFmtId="0" fontId="68" fillId="6" borderId="0" applyNumberFormat="0" applyBorder="0" applyAlignment="0" applyProtection="0"/>
    <xf numFmtId="0" fontId="12" fillId="7" borderId="0" applyNumberFormat="0" applyBorder="0" applyAlignment="0" applyProtection="0"/>
    <xf numFmtId="0" fontId="68" fillId="8" borderId="0" applyNumberFormat="0" applyBorder="0" applyAlignment="0" applyProtection="0"/>
    <xf numFmtId="0" fontId="12" fillId="9" borderId="0" applyNumberFormat="0" applyBorder="0" applyAlignment="0" applyProtection="0"/>
    <xf numFmtId="0" fontId="68" fillId="10" borderId="0" applyNumberFormat="0" applyBorder="0" applyAlignment="0" applyProtection="0"/>
    <xf numFmtId="0" fontId="12" fillId="7" borderId="0" applyNumberFormat="0" applyBorder="0" applyAlignment="0" applyProtection="0"/>
    <xf numFmtId="0" fontId="68" fillId="11" borderId="0" applyNumberFormat="0" applyBorder="0" applyAlignment="0" applyProtection="0"/>
    <xf numFmtId="0" fontId="12" fillId="9" borderId="0" applyNumberFormat="0" applyBorder="0" applyAlignment="0" applyProtection="0"/>
    <xf numFmtId="0" fontId="68" fillId="12" borderId="0" applyNumberFormat="0" applyBorder="0" applyAlignment="0" applyProtection="0"/>
    <xf numFmtId="0" fontId="12" fillId="3" borderId="0" applyNumberFormat="0" applyBorder="0" applyAlignment="0" applyProtection="0"/>
    <xf numFmtId="0" fontId="68" fillId="13" borderId="0" applyNumberFormat="0" applyBorder="0" applyAlignment="0" applyProtection="0"/>
    <xf numFmtId="0" fontId="12" fillId="5" borderId="0" applyNumberFormat="0" applyBorder="0" applyAlignment="0" applyProtection="0"/>
    <xf numFmtId="0" fontId="68" fillId="14" borderId="0" applyNumberFormat="0" applyBorder="0" applyAlignment="0" applyProtection="0"/>
    <xf numFmtId="0" fontId="12" fillId="7" borderId="0" applyNumberFormat="0" applyBorder="0" applyAlignment="0" applyProtection="0"/>
    <xf numFmtId="0" fontId="68" fillId="15" borderId="0" applyNumberFormat="0" applyBorder="0" applyAlignment="0" applyProtection="0"/>
    <xf numFmtId="0" fontId="12" fillId="16" borderId="0" applyNumberFormat="0" applyBorder="0" applyAlignment="0" applyProtection="0"/>
    <xf numFmtId="0" fontId="68" fillId="17" borderId="0" applyNumberFormat="0" applyBorder="0" applyAlignment="0" applyProtection="0"/>
    <xf numFmtId="0" fontId="12" fillId="18" borderId="0" applyNumberFormat="0" applyBorder="0" applyAlignment="0" applyProtection="0"/>
    <xf numFmtId="0" fontId="68" fillId="19" borderId="0" applyNumberFormat="0" applyBorder="0" applyAlignment="0" applyProtection="0"/>
    <xf numFmtId="0" fontId="12" fillId="16" borderId="0" applyNumberFormat="0" applyBorder="0" applyAlignment="0" applyProtection="0"/>
    <xf numFmtId="0" fontId="69" fillId="20" borderId="0" applyNumberFormat="0" applyBorder="0" applyAlignment="0" applyProtection="0"/>
    <xf numFmtId="0" fontId="18" fillId="18" borderId="0" applyNumberFormat="0" applyBorder="0" applyAlignment="0" applyProtection="0"/>
    <xf numFmtId="0" fontId="69" fillId="21" borderId="0" applyNumberFormat="0" applyBorder="0" applyAlignment="0" applyProtection="0"/>
    <xf numFmtId="0" fontId="18" fillId="5" borderId="0" applyNumberFormat="0" applyBorder="0" applyAlignment="0" applyProtection="0"/>
    <xf numFmtId="0" fontId="69" fillId="22" borderId="0" applyNumberFormat="0" applyBorder="0" applyAlignment="0" applyProtection="0"/>
    <xf numFmtId="0" fontId="18" fillId="23" borderId="0" applyNumberFormat="0" applyBorder="0" applyAlignment="0" applyProtection="0"/>
    <xf numFmtId="0" fontId="69" fillId="24" borderId="0" applyNumberFormat="0" applyBorder="0" applyAlignment="0" applyProtection="0"/>
    <xf numFmtId="0" fontId="18" fillId="16" borderId="0" applyNumberFormat="0" applyBorder="0" applyAlignment="0" applyProtection="0"/>
    <xf numFmtId="0" fontId="69" fillId="25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18" fillId="28" borderId="0" applyNumberFormat="0" applyBorder="0" applyAlignment="0" applyProtection="0"/>
    <xf numFmtId="0" fontId="70" fillId="29" borderId="0" applyNumberFormat="0" applyBorder="0" applyAlignment="0" applyProtection="0"/>
    <xf numFmtId="0" fontId="19" fillId="3" borderId="0" applyNumberFormat="0" applyBorder="0" applyAlignment="0" applyProtection="0"/>
    <xf numFmtId="0" fontId="71" fillId="30" borderId="1" applyNumberFormat="0" applyAlignment="0" applyProtection="0"/>
    <xf numFmtId="0" fontId="20" fillId="31" borderId="2" applyNumberFormat="0" applyAlignment="0" applyProtection="0"/>
    <xf numFmtId="0" fontId="72" fillId="32" borderId="3" applyNumberFormat="0" applyAlignment="0" applyProtection="0"/>
    <xf numFmtId="0" fontId="21" fillId="33" borderId="4" applyNumberFormat="0" applyAlignment="0" applyProtection="0"/>
    <xf numFmtId="0" fontId="73" fillId="0" borderId="5" applyNumberFormat="0" applyFill="0" applyAlignment="0" applyProtection="0"/>
    <xf numFmtId="0" fontId="22" fillId="0" borderId="6" applyNumberFormat="0" applyFill="0" applyAlignment="0" applyProtection="0"/>
    <xf numFmtId="0" fontId="69" fillId="34" borderId="0" applyNumberFormat="0" applyBorder="0" applyAlignment="0" applyProtection="0"/>
    <xf numFmtId="0" fontId="18" fillId="26" borderId="0" applyNumberFormat="0" applyBorder="0" applyAlignment="0" applyProtection="0"/>
    <xf numFmtId="0" fontId="69" fillId="35" borderId="0" applyNumberFormat="0" applyBorder="0" applyAlignment="0" applyProtection="0"/>
    <xf numFmtId="0" fontId="18" fillId="36" borderId="0" applyNumberFormat="0" applyBorder="0" applyAlignment="0" applyProtection="0"/>
    <xf numFmtId="0" fontId="69" fillId="37" borderId="0" applyNumberFormat="0" applyBorder="0" applyAlignment="0" applyProtection="0"/>
    <xf numFmtId="0" fontId="18" fillId="33" borderId="0" applyNumberFormat="0" applyBorder="0" applyAlignment="0" applyProtection="0"/>
    <xf numFmtId="0" fontId="69" fillId="38" borderId="0" applyNumberFormat="0" applyBorder="0" applyAlignment="0" applyProtection="0"/>
    <xf numFmtId="0" fontId="18" fillId="39" borderId="0" applyNumberFormat="0" applyBorder="0" applyAlignment="0" applyProtection="0"/>
    <xf numFmtId="0" fontId="69" fillId="40" borderId="0" applyNumberFormat="0" applyBorder="0" applyAlignment="0" applyProtection="0"/>
    <xf numFmtId="0" fontId="18" fillId="41" borderId="0" applyNumberFormat="0" applyBorder="0" applyAlignment="0" applyProtection="0"/>
    <xf numFmtId="0" fontId="69" fillId="42" borderId="0" applyNumberFormat="0" applyBorder="0" applyAlignment="0" applyProtection="0"/>
    <xf numFmtId="0" fontId="18" fillId="28" borderId="0" applyNumberFormat="0" applyBorder="0" applyAlignment="0" applyProtection="0"/>
    <xf numFmtId="0" fontId="74" fillId="43" borderId="1" applyNumberFormat="0" applyAlignment="0" applyProtection="0"/>
    <xf numFmtId="0" fontId="23" fillId="5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4" fillId="44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Protection="0">
      <alignment vertical="center"/>
    </xf>
    <xf numFmtId="211" fontId="0" fillId="0" borderId="0" applyFill="0" applyBorder="0" applyAlignment="0" applyProtection="0"/>
    <xf numFmtId="44" fontId="68" fillId="0" borderId="0" applyFont="0" applyFill="0" applyBorder="0" applyAlignment="0" applyProtection="0"/>
    <xf numFmtId="44" fontId="1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77" fillId="45" borderId="0" applyNumberFormat="0" applyBorder="0" applyAlignment="0" applyProtection="0"/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68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46" borderId="7" applyNumberFormat="0" applyFont="0" applyAlignment="0" applyProtection="0"/>
    <xf numFmtId="0" fontId="0" fillId="9" borderId="8" applyNumberFormat="0" applyAlignment="0" applyProtection="0"/>
    <xf numFmtId="9" fontId="0" fillId="0" borderId="0" applyFont="0" applyFill="0" applyBorder="0" applyAlignment="0" applyProtection="0"/>
    <xf numFmtId="182" fontId="13" fillId="0" borderId="0" applyFill="0" applyBorder="0" applyProtection="0">
      <alignment horizontal="right" vertical="center"/>
    </xf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47" borderId="0" applyNumberFormat="0" applyBorder="0" applyAlignment="0" applyProtection="0"/>
    <xf numFmtId="0" fontId="79" fillId="30" borderId="9" applyNumberFormat="0" applyAlignment="0" applyProtection="0"/>
    <xf numFmtId="0" fontId="26" fillId="31" borderId="10" applyNumberFormat="0" applyAlignment="0" applyProtection="0"/>
    <xf numFmtId="175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1" applyNumberFormat="0" applyFill="0" applyAlignment="0" applyProtection="0"/>
    <xf numFmtId="0" fontId="30" fillId="0" borderId="12" applyNumberFormat="0" applyFill="0" applyAlignment="0" applyProtection="0"/>
    <xf numFmtId="0" fontId="84" fillId="0" borderId="13" applyNumberFormat="0" applyFill="0" applyAlignment="0" applyProtection="0"/>
    <xf numFmtId="0" fontId="31" fillId="0" borderId="14" applyNumberFormat="0" applyFill="0" applyAlignment="0" applyProtection="0"/>
    <xf numFmtId="0" fontId="85" fillId="0" borderId="15" applyNumberFormat="0" applyFill="0" applyAlignment="0" applyProtection="0"/>
    <xf numFmtId="0" fontId="32" fillId="0" borderId="16" applyNumberFormat="0" applyFill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6" fillId="0" borderId="17" applyNumberFormat="0" applyFill="0" applyAlignment="0" applyProtection="0"/>
    <xf numFmtId="0" fontId="29" fillId="0" borderId="18" applyNumberFormat="0" applyFill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6" fillId="0" borderId="0" applyNumberFormat="0" applyFont="0" applyFill="0" applyBorder="0" applyProtection="0">
      <alignment vertical="center"/>
    </xf>
    <xf numFmtId="209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0" fillId="0" borderId="0" applyFont="0" applyFill="0" applyBorder="0" applyAlignment="0" applyProtection="0"/>
    <xf numFmtId="210" fontId="0" fillId="0" borderId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5" fillId="4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" fillId="0" borderId="21" xfId="92" applyNumberFormat="1" applyFont="1" applyFill="1" applyBorder="1" applyAlignment="1">
      <alignment horizontal="center" vertical="center"/>
      <protection/>
    </xf>
    <xf numFmtId="0" fontId="1" fillId="0" borderId="21" xfId="92" applyFont="1" applyFill="1" applyBorder="1" applyAlignment="1">
      <alignment horizontal="left" vertical="center" wrapText="1"/>
      <protection/>
    </xf>
    <xf numFmtId="4" fontId="1" fillId="0" borderId="21" xfId="146" applyNumberFormat="1" applyFont="1" applyFill="1" applyBorder="1" applyAlignment="1">
      <alignment horizontal="center" vertical="center"/>
    </xf>
    <xf numFmtId="49" fontId="1" fillId="0" borderId="22" xfId="92" applyNumberFormat="1" applyFont="1" applyFill="1" applyBorder="1" applyAlignment="1">
      <alignment horizontal="center" vertical="center"/>
      <protection/>
    </xf>
    <xf numFmtId="4" fontId="1" fillId="0" borderId="23" xfId="146" applyNumberFormat="1" applyFont="1" applyFill="1" applyBorder="1" applyAlignment="1">
      <alignment horizontal="center" vertical="center"/>
    </xf>
    <xf numFmtId="0" fontId="7" fillId="49" borderId="21" xfId="0" applyFont="1" applyFill="1" applyBorder="1" applyAlignment="1">
      <alignment horizontal="center" vertical="center" wrapText="1"/>
    </xf>
    <xf numFmtId="0" fontId="15" fillId="0" borderId="0" xfId="89" applyFont="1" applyFill="1" applyBorder="1" applyAlignment="1" applyProtection="1">
      <alignment vertical="center"/>
      <protection/>
    </xf>
    <xf numFmtId="0" fontId="14" fillId="0" borderId="0" xfId="89" applyFont="1" applyFill="1" applyBorder="1" applyAlignment="1" applyProtection="1">
      <alignment vertical="center"/>
      <protection/>
    </xf>
    <xf numFmtId="4" fontId="0" fillId="0" borderId="0" xfId="89" applyNumberFormat="1" applyFont="1" applyFill="1" applyBorder="1" applyAlignment="1">
      <alignment horizontal="center" vertical="center"/>
      <protection/>
    </xf>
    <xf numFmtId="4" fontId="0" fillId="0" borderId="21" xfId="0" applyNumberFormat="1" applyFont="1" applyFill="1" applyBorder="1" applyAlignment="1">
      <alignment horizontal="center" vertical="center"/>
    </xf>
    <xf numFmtId="204" fontId="0" fillId="0" borderId="21" xfId="92" applyNumberFormat="1" applyFont="1" applyBorder="1" applyAlignment="1">
      <alignment horizontal="center" vertical="center" wrapText="1"/>
      <protection/>
    </xf>
    <xf numFmtId="204" fontId="0" fillId="0" borderId="23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vertical="center"/>
      <protection/>
    </xf>
    <xf numFmtId="0" fontId="0" fillId="0" borderId="0" xfId="92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10" fontId="0" fillId="0" borderId="21" xfId="114" applyNumberFormat="1" applyFont="1" applyFill="1" applyBorder="1" applyAlignment="1">
      <alignment horizontal="center" vertical="center"/>
    </xf>
    <xf numFmtId="0" fontId="3" fillId="0" borderId="0" xfId="92" applyFont="1" applyFill="1" applyAlignment="1">
      <alignment vertical="center"/>
      <protection/>
    </xf>
    <xf numFmtId="0" fontId="34" fillId="0" borderId="21" xfId="9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92" applyFont="1" applyAlignment="1">
      <alignment vertical="center"/>
      <protection/>
    </xf>
    <xf numFmtId="0" fontId="37" fillId="48" borderId="0" xfId="0" applyFont="1" applyFill="1" applyBorder="1" applyAlignment="1" applyProtection="1">
      <alignment vertical="center"/>
      <protection/>
    </xf>
    <xf numFmtId="0" fontId="5" fillId="48" borderId="0" xfId="0" applyFont="1" applyFill="1" applyBorder="1" applyAlignment="1" applyProtection="1">
      <alignment vertical="center"/>
      <protection/>
    </xf>
    <xf numFmtId="0" fontId="4" fillId="48" borderId="0" xfId="0" applyFont="1" applyFill="1" applyBorder="1" applyAlignment="1" applyProtection="1">
      <alignment vertical="center"/>
      <protection/>
    </xf>
    <xf numFmtId="0" fontId="38" fillId="0" borderId="0" xfId="92" applyFont="1" applyAlignment="1">
      <alignment vertical="center"/>
      <protection/>
    </xf>
    <xf numFmtId="0" fontId="7" fillId="0" borderId="0" xfId="92" applyFont="1" applyFill="1" applyAlignment="1">
      <alignment vertical="center"/>
      <protection/>
    </xf>
    <xf numFmtId="0" fontId="10" fillId="48" borderId="21" xfId="92" applyFont="1" applyFill="1" applyBorder="1" applyAlignment="1">
      <alignment vertical="center" wrapText="1"/>
      <protection/>
    </xf>
    <xf numFmtId="0" fontId="7" fillId="0" borderId="0" xfId="92" applyNumberFormat="1" applyFont="1" applyAlignment="1">
      <alignment horizontal="center" vertical="center"/>
      <protection/>
    </xf>
    <xf numFmtId="0" fontId="7" fillId="0" borderId="0" xfId="92" applyFont="1" applyAlignment="1">
      <alignment horizontal="left" vertical="center" wrapText="1"/>
      <protection/>
    </xf>
    <xf numFmtId="4" fontId="7" fillId="0" borderId="0" xfId="92" applyNumberFormat="1" applyFont="1" applyAlignment="1">
      <alignment vertical="center"/>
      <protection/>
    </xf>
    <xf numFmtId="0" fontId="41" fillId="0" borderId="0" xfId="89" applyFont="1" applyFill="1" applyBorder="1" applyAlignment="1" applyProtection="1">
      <alignment vertical="center"/>
      <protection/>
    </xf>
    <xf numFmtId="0" fontId="5" fillId="0" borderId="21" xfId="92" applyFont="1" applyFill="1" applyBorder="1" applyAlignment="1">
      <alignment horizontal="center" vertical="center"/>
      <protection/>
    </xf>
    <xf numFmtId="0" fontId="5" fillId="0" borderId="21" xfId="92" applyFont="1" applyBorder="1" applyAlignment="1">
      <alignment horizontal="center" vertical="center" wrapText="1"/>
      <protection/>
    </xf>
    <xf numFmtId="4" fontId="0" fillId="0" borderId="2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25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5" fillId="48" borderId="28" xfId="0" applyFont="1" applyFill="1" applyBorder="1" applyAlignment="1">
      <alignment vertical="center"/>
    </xf>
    <xf numFmtId="0" fontId="5" fillId="48" borderId="29" xfId="0" applyFont="1" applyFill="1" applyBorder="1" applyAlignment="1">
      <alignment vertical="center"/>
    </xf>
    <xf numFmtId="0" fontId="5" fillId="48" borderId="0" xfId="0" applyFont="1" applyFill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85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44" fillId="48" borderId="26" xfId="0" applyFont="1" applyFill="1" applyBorder="1" applyAlignment="1" applyProtection="1">
      <alignment vertical="center"/>
      <protection/>
    </xf>
    <xf numFmtId="0" fontId="87" fillId="50" borderId="21" xfId="0" applyFont="1" applyFill="1" applyBorder="1" applyAlignment="1" applyProtection="1">
      <alignment horizontal="center" vertical="center"/>
      <protection/>
    </xf>
    <xf numFmtId="183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183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39" fontId="5" fillId="0" borderId="34" xfId="0" applyNumberFormat="1" applyFont="1" applyFill="1" applyBorder="1" applyAlignment="1" applyProtection="1">
      <alignment horizontal="center" vertical="center"/>
      <protection/>
    </xf>
    <xf numFmtId="183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39" fontId="5" fillId="0" borderId="21" xfId="0" applyNumberFormat="1" applyFont="1" applyFill="1" applyBorder="1" applyAlignment="1" applyProtection="1">
      <alignment horizontal="center" vertical="center"/>
      <protection/>
    </xf>
    <xf numFmtId="183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9" fontId="5" fillId="0" borderId="0" xfId="0" applyNumberFormat="1" applyFont="1" applyFill="1" applyBorder="1" applyAlignment="1" applyProtection="1">
      <alignment horizontal="center" vertical="center"/>
      <protection/>
    </xf>
    <xf numFmtId="205" fontId="5" fillId="0" borderId="0" xfId="0" applyNumberFormat="1" applyFont="1" applyAlignment="1">
      <alignment vertical="center"/>
    </xf>
    <xf numFmtId="206" fontId="5" fillId="0" borderId="0" xfId="0" applyNumberFormat="1" applyFont="1" applyAlignment="1">
      <alignment vertical="center"/>
    </xf>
    <xf numFmtId="0" fontId="5" fillId="0" borderId="20" xfId="0" applyFont="1" applyFill="1" applyBorder="1" applyAlignment="1" applyProtection="1">
      <alignment vertical="center"/>
      <protection/>
    </xf>
    <xf numFmtId="186" fontId="5" fillId="0" borderId="34" xfId="0" applyNumberFormat="1" applyFont="1" applyFill="1" applyBorder="1" applyAlignment="1" applyProtection="1">
      <alignment horizontal="center" vertical="center"/>
      <protection/>
    </xf>
    <xf numFmtId="186" fontId="5" fillId="0" borderId="21" xfId="0" applyNumberFormat="1" applyFont="1" applyFill="1" applyBorder="1" applyAlignment="1" applyProtection="1">
      <alignment horizontal="center" vertical="center"/>
      <protection/>
    </xf>
    <xf numFmtId="39" fontId="4" fillId="51" borderId="21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39" fontId="88" fillId="52" borderId="21" xfId="0" applyNumberFormat="1" applyFont="1" applyFill="1" applyBorder="1" applyAlignment="1" applyProtection="1">
      <alignment horizontal="center" vertical="center"/>
      <protection/>
    </xf>
    <xf numFmtId="186" fontId="4" fillId="0" borderId="34" xfId="0" applyNumberFormat="1" applyFont="1" applyFill="1" applyBorder="1" applyAlignment="1" applyProtection="1">
      <alignment horizontal="center" vertical="center"/>
      <protection/>
    </xf>
    <xf numFmtId="185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39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37" fillId="0" borderId="26" xfId="0" applyFont="1" applyFill="1" applyBorder="1" applyAlignment="1">
      <alignment horizontal="center" vertical="center"/>
    </xf>
    <xf numFmtId="0" fontId="44" fillId="48" borderId="0" xfId="0" applyFont="1" applyFill="1" applyBorder="1" applyAlignment="1" applyProtection="1">
      <alignment vertical="center"/>
      <protection/>
    </xf>
    <xf numFmtId="0" fontId="87" fillId="50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 applyProtection="1">
      <alignment horizontal="left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2" fontId="4" fillId="0" borderId="0" xfId="0" applyNumberFormat="1" applyFont="1" applyAlignment="1">
      <alignment vertical="center"/>
    </xf>
    <xf numFmtId="183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39" fontId="5" fillId="0" borderId="33" xfId="0" applyNumberFormat="1" applyFont="1" applyFill="1" applyBorder="1" applyAlignment="1" applyProtection="1">
      <alignment horizontal="center" vertical="center"/>
      <protection/>
    </xf>
    <xf numFmtId="39" fontId="88" fillId="52" borderId="0" xfId="0" applyNumberFormat="1" applyFont="1" applyFill="1" applyBorder="1" applyAlignment="1" applyProtection="1">
      <alignment horizontal="center" vertical="center"/>
      <protection/>
    </xf>
    <xf numFmtId="186" fontId="5" fillId="50" borderId="34" xfId="0" applyNumberFormat="1" applyFont="1" applyFill="1" applyBorder="1" applyAlignment="1" applyProtection="1">
      <alignment horizontal="center" vertical="center"/>
      <protection/>
    </xf>
    <xf numFmtId="0" fontId="87" fillId="50" borderId="36" xfId="0" applyFont="1" applyFill="1" applyBorder="1" applyAlignment="1" applyProtection="1">
      <alignment horizontal="center" vertical="center"/>
      <protection/>
    </xf>
    <xf numFmtId="0" fontId="34" fillId="0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6" fontId="5" fillId="5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39" fontId="36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77" fontId="4" fillId="0" borderId="0" xfId="154" applyFont="1" applyAlignment="1">
      <alignment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39" fontId="40" fillId="0" borderId="0" xfId="0" applyNumberFormat="1" applyFont="1" applyFill="1" applyBorder="1" applyAlignment="1" applyProtection="1">
      <alignment vertical="center"/>
      <protection/>
    </xf>
    <xf numFmtId="177" fontId="5" fillId="0" borderId="0" xfId="154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22" xfId="92" applyFont="1" applyFill="1" applyBorder="1" applyAlignment="1">
      <alignment vertical="center"/>
      <protection/>
    </xf>
    <xf numFmtId="0" fontId="7" fillId="0" borderId="37" xfId="92" applyFont="1" applyFill="1" applyBorder="1" applyAlignment="1">
      <alignment vertical="center"/>
      <protection/>
    </xf>
    <xf numFmtId="0" fontId="7" fillId="0" borderId="30" xfId="92" applyFont="1" applyFill="1" applyBorder="1" applyAlignment="1">
      <alignment vertical="center"/>
      <protection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left" vertical="center"/>
    </xf>
    <xf numFmtId="4" fontId="39" fillId="0" borderId="3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0" fontId="35" fillId="0" borderId="21" xfId="92" applyFont="1" applyFill="1" applyBorder="1" applyAlignment="1">
      <alignment vertical="center" wrapText="1"/>
      <protection/>
    </xf>
    <xf numFmtId="0" fontId="7" fillId="0" borderId="21" xfId="0" applyFont="1" applyFill="1" applyBorder="1" applyAlignment="1">
      <alignment horizontal="center" vertical="center" wrapText="1"/>
    </xf>
    <xf numFmtId="0" fontId="0" fillId="0" borderId="21" xfId="92" applyFont="1" applyFill="1" applyBorder="1" applyAlignment="1">
      <alignment horizontal="left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204" fontId="0" fillId="0" borderId="21" xfId="92" applyNumberFormat="1" applyFont="1" applyFill="1" applyBorder="1" applyAlignment="1">
      <alignment horizontal="center" vertical="center" wrapText="1"/>
      <protection/>
    </xf>
    <xf numFmtId="204" fontId="0" fillId="0" borderId="23" xfId="92" applyNumberFormat="1" applyFont="1" applyFill="1" applyBorder="1" applyAlignment="1">
      <alignment horizontal="center" vertical="center"/>
      <protection/>
    </xf>
    <xf numFmtId="0" fontId="7" fillId="0" borderId="21" xfId="92" applyFont="1" applyFill="1" applyBorder="1" applyAlignment="1">
      <alignment horizontal="left" vertical="center" wrapText="1"/>
      <protection/>
    </xf>
    <xf numFmtId="185" fontId="2" fillId="0" borderId="21" xfId="0" applyNumberFormat="1" applyFont="1" applyFill="1" applyBorder="1" applyAlignment="1">
      <alignment horizontal="center" vertical="center"/>
    </xf>
    <xf numFmtId="0" fontId="10" fillId="0" borderId="21" xfId="92" applyFont="1" applyFill="1" applyBorder="1" applyAlignment="1">
      <alignment vertical="center" wrapText="1"/>
      <protection/>
    </xf>
    <xf numFmtId="0" fontId="7" fillId="0" borderId="24" xfId="0" applyFont="1" applyFill="1" applyBorder="1" applyAlignment="1">
      <alignment horizontal="center" vertical="center" wrapText="1"/>
    </xf>
    <xf numFmtId="0" fontId="5" fillId="0" borderId="24" xfId="92" applyFont="1" applyFill="1" applyBorder="1" applyAlignment="1">
      <alignment horizontal="center" vertical="center" wrapText="1"/>
      <protection/>
    </xf>
    <xf numFmtId="204" fontId="0" fillId="0" borderId="24" xfId="92" applyNumberFormat="1" applyFont="1" applyFill="1" applyBorder="1" applyAlignment="1">
      <alignment horizontal="center" vertical="center" wrapText="1"/>
      <protection/>
    </xf>
    <xf numFmtId="204" fontId="0" fillId="0" borderId="38" xfId="92" applyNumberFormat="1" applyFont="1" applyFill="1" applyBorder="1" applyAlignment="1">
      <alignment horizontal="center" vertical="center"/>
      <protection/>
    </xf>
    <xf numFmtId="0" fontId="0" fillId="0" borderId="0" xfId="92" applyNumberFormat="1" applyFont="1" applyFill="1" applyAlignment="1">
      <alignment horizontal="center" vertical="center"/>
      <protection/>
    </xf>
    <xf numFmtId="0" fontId="0" fillId="0" borderId="0" xfId="92" applyFont="1" applyFill="1" applyAlignment="1">
      <alignment horizontal="left" vertical="center" wrapText="1"/>
      <protection/>
    </xf>
    <xf numFmtId="0" fontId="5" fillId="0" borderId="0" xfId="92" applyFont="1" applyFill="1" applyAlignment="1">
      <alignment horizontal="center" vertical="center"/>
      <protection/>
    </xf>
    <xf numFmtId="4" fontId="0" fillId="0" borderId="0" xfId="92" applyNumberFormat="1" applyFont="1" applyFill="1" applyAlignment="1">
      <alignment horizontal="center" vertical="center"/>
      <protection/>
    </xf>
    <xf numFmtId="2" fontId="0" fillId="0" borderId="0" xfId="92" applyNumberFormat="1" applyFont="1" applyFill="1" applyAlignment="1">
      <alignment vertical="center"/>
      <protection/>
    </xf>
    <xf numFmtId="4" fontId="0" fillId="0" borderId="0" xfId="92" applyNumberFormat="1" applyFont="1" applyFill="1" applyAlignment="1">
      <alignment vertical="center"/>
      <protection/>
    </xf>
    <xf numFmtId="0" fontId="7" fillId="0" borderId="21" xfId="92" applyNumberFormat="1" applyFont="1" applyFill="1" applyBorder="1" applyAlignment="1">
      <alignment horizontal="center" vertical="center"/>
      <protection/>
    </xf>
    <xf numFmtId="0" fontId="36" fillId="0" borderId="21" xfId="92" applyFont="1" applyFill="1" applyBorder="1" applyAlignment="1">
      <alignment vertical="center" wrapText="1"/>
      <protection/>
    </xf>
    <xf numFmtId="0" fontId="37" fillId="0" borderId="21" xfId="92" applyFont="1" applyFill="1" applyBorder="1" applyAlignment="1">
      <alignment horizontal="left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 wrapText="1"/>
    </xf>
    <xf numFmtId="0" fontId="5" fillId="0" borderId="0" xfId="92" applyFont="1" applyFill="1" applyAlignment="1">
      <alignment vertical="center"/>
      <protection/>
    </xf>
    <xf numFmtId="4" fontId="7" fillId="0" borderId="0" xfId="92" applyNumberFormat="1" applyFont="1" applyAlignment="1">
      <alignment horizontal="center" vertical="center"/>
      <protection/>
    </xf>
    <xf numFmtId="49" fontId="7" fillId="0" borderId="0" xfId="92" applyNumberFormat="1" applyFont="1" applyAlignment="1">
      <alignment horizontal="center" vertical="center"/>
      <protection/>
    </xf>
    <xf numFmtId="0" fontId="46" fillId="0" borderId="0" xfId="92" applyFont="1" applyAlignment="1">
      <alignment horizontal="center" vertical="center"/>
      <protection/>
    </xf>
    <xf numFmtId="0" fontId="8" fillId="0" borderId="0" xfId="92" applyFont="1" applyAlignment="1">
      <alignment vertical="center"/>
      <protection/>
    </xf>
    <xf numFmtId="183" fontId="89" fillId="0" borderId="34" xfId="0" applyNumberFormat="1" applyFont="1" applyFill="1" applyBorder="1" applyAlignment="1" applyProtection="1">
      <alignment horizontal="center" vertical="center"/>
      <protection/>
    </xf>
    <xf numFmtId="186" fontId="89" fillId="50" borderId="34" xfId="0" applyNumberFormat="1" applyFont="1" applyFill="1" applyBorder="1" applyAlignment="1" applyProtection="1">
      <alignment horizontal="center" vertical="center"/>
      <protection/>
    </xf>
    <xf numFmtId="0" fontId="90" fillId="50" borderId="21" xfId="0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4" fillId="50" borderId="21" xfId="0" applyNumberFormat="1" applyFont="1" applyFill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2" fontId="4" fillId="0" borderId="21" xfId="0" applyNumberFormat="1" applyFont="1" applyBorder="1" applyAlignment="1">
      <alignment vertical="center"/>
    </xf>
    <xf numFmtId="186" fontId="91" fillId="50" borderId="34" xfId="0" applyNumberFormat="1" applyFont="1" applyFill="1" applyBorder="1" applyAlignment="1" applyProtection="1">
      <alignment horizontal="center" vertical="center"/>
      <protection/>
    </xf>
    <xf numFmtId="2" fontId="5" fillId="0" borderId="42" xfId="0" applyNumberFormat="1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2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2" fontId="5" fillId="50" borderId="49" xfId="0" applyNumberFormat="1" applyFont="1" applyFill="1" applyBorder="1" applyAlignment="1">
      <alignment/>
    </xf>
    <xf numFmtId="4" fontId="1" fillId="5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2" fontId="1" fillId="50" borderId="21" xfId="0" applyNumberFormat="1" applyFont="1" applyFill="1" applyBorder="1" applyAlignment="1">
      <alignment/>
    </xf>
    <xf numFmtId="2" fontId="1" fillId="50" borderId="50" xfId="0" applyNumberFormat="1" applyFont="1" applyFill="1" applyBorder="1" applyAlignment="1">
      <alignment horizontal="center" vertical="center"/>
    </xf>
    <xf numFmtId="2" fontId="1" fillId="50" borderId="34" xfId="0" applyNumberFormat="1" applyFont="1" applyFill="1" applyBorder="1" applyAlignment="1">
      <alignment horizontal="center" vertical="center"/>
    </xf>
    <xf numFmtId="2" fontId="4" fillId="50" borderId="0" xfId="0" applyNumberFormat="1" applyFont="1" applyFill="1" applyAlignment="1">
      <alignment vertical="center"/>
    </xf>
    <xf numFmtId="0" fontId="0" fillId="0" borderId="0" xfId="92" applyFont="1" applyFill="1" applyAlignment="1">
      <alignment vertical="center" wrapText="1"/>
      <protection/>
    </xf>
    <xf numFmtId="0" fontId="0" fillId="0" borderId="26" xfId="92" applyNumberFormat="1" applyFont="1" applyFill="1" applyBorder="1" applyAlignment="1">
      <alignment horizontal="center" vertical="center"/>
      <protection/>
    </xf>
    <xf numFmtId="0" fontId="0" fillId="0" borderId="26" xfId="92" applyFont="1" applyFill="1" applyBorder="1" applyAlignment="1">
      <alignment horizontal="left" vertical="center" wrapText="1"/>
      <protection/>
    </xf>
    <xf numFmtId="0" fontId="0" fillId="49" borderId="0" xfId="92" applyFont="1" applyFill="1" applyAlignment="1">
      <alignment vertical="center"/>
      <protection/>
    </xf>
    <xf numFmtId="0" fontId="7" fillId="49" borderId="22" xfId="92" applyFont="1" applyFill="1" applyBorder="1" applyAlignment="1">
      <alignment vertical="center"/>
      <protection/>
    </xf>
    <xf numFmtId="185" fontId="2" fillId="49" borderId="21" xfId="0" applyNumberFormat="1" applyFont="1" applyFill="1" applyBorder="1" applyAlignment="1">
      <alignment horizontal="center" vertical="center"/>
    </xf>
    <xf numFmtId="0" fontId="10" fillId="49" borderId="21" xfId="92" applyFont="1" applyFill="1" applyBorder="1" applyAlignment="1">
      <alignment vertical="center" wrapText="1"/>
      <protection/>
    </xf>
    <xf numFmtId="0" fontId="5" fillId="49" borderId="21" xfId="92" applyFont="1" applyFill="1" applyBorder="1" applyAlignment="1">
      <alignment horizontal="center" vertical="center" wrapText="1"/>
      <protection/>
    </xf>
    <xf numFmtId="4" fontId="0" fillId="49" borderId="21" xfId="0" applyNumberFormat="1" applyFont="1" applyFill="1" applyBorder="1" applyAlignment="1">
      <alignment horizontal="center" vertical="center"/>
    </xf>
    <xf numFmtId="204" fontId="0" fillId="49" borderId="21" xfId="92" applyNumberFormat="1" applyFont="1" applyFill="1" applyBorder="1" applyAlignment="1">
      <alignment horizontal="center" vertical="center" wrapText="1"/>
      <protection/>
    </xf>
    <xf numFmtId="204" fontId="0" fillId="49" borderId="23" xfId="92" applyNumberFormat="1" applyFont="1" applyFill="1" applyBorder="1" applyAlignment="1">
      <alignment horizontal="center" vertical="center"/>
      <protection/>
    </xf>
    <xf numFmtId="0" fontId="7" fillId="0" borderId="51" xfId="92" applyFont="1" applyFill="1" applyBorder="1" applyAlignment="1">
      <alignment vertical="center"/>
      <protection/>
    </xf>
    <xf numFmtId="9" fontId="17" fillId="0" borderId="52" xfId="117" applyNumberFormat="1" applyFont="1" applyFill="1" applyBorder="1" applyAlignment="1">
      <alignment horizontal="center" vertical="center"/>
    </xf>
    <xf numFmtId="184" fontId="0" fillId="0" borderId="0" xfId="92" applyNumberFormat="1" applyFont="1" applyFill="1" applyAlignment="1">
      <alignment vertical="center"/>
      <protection/>
    </xf>
    <xf numFmtId="0" fontId="0" fillId="0" borderId="0" xfId="92" applyFont="1" applyFill="1" applyBorder="1" applyAlignment="1">
      <alignment horizontal="center" vertical="center" wrapText="1"/>
      <protection/>
    </xf>
    <xf numFmtId="0" fontId="5" fillId="0" borderId="0" xfId="92" applyFont="1" applyFill="1" applyBorder="1" applyAlignment="1">
      <alignment horizontal="center" vertical="center" wrapText="1"/>
      <protection/>
    </xf>
    <xf numFmtId="0" fontId="0" fillId="0" borderId="0" xfId="92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/>
    </xf>
    <xf numFmtId="49" fontId="0" fillId="0" borderId="52" xfId="92" applyNumberFormat="1" applyFont="1" applyFill="1" applyBorder="1" applyAlignment="1">
      <alignment horizontal="center" vertical="center"/>
      <protection/>
    </xf>
    <xf numFmtId="0" fontId="0" fillId="0" borderId="36" xfId="92" applyNumberFormat="1" applyFont="1" applyFill="1" applyBorder="1" applyAlignment="1">
      <alignment horizontal="center" vertical="center"/>
      <protection/>
    </xf>
    <xf numFmtId="0" fontId="0" fillId="0" borderId="36" xfId="92" applyFont="1" applyFill="1" applyBorder="1" applyAlignment="1">
      <alignment horizontal="left" vertical="center" wrapText="1"/>
      <protection/>
    </xf>
    <xf numFmtId="0" fontId="0" fillId="0" borderId="53" xfId="92" applyFont="1" applyFill="1" applyBorder="1" applyAlignment="1">
      <alignment horizontal="left" vertical="center" wrapText="1"/>
      <protection/>
    </xf>
    <xf numFmtId="0" fontId="0" fillId="0" borderId="54" xfId="92" applyFont="1" applyFill="1" applyBorder="1" applyAlignment="1">
      <alignment horizontal="left" vertical="center" wrapText="1"/>
      <protection/>
    </xf>
    <xf numFmtId="4" fontId="0" fillId="0" borderId="55" xfId="154" applyNumberFormat="1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horizontal="center" vertical="center"/>
    </xf>
    <xf numFmtId="0" fontId="45" fillId="0" borderId="21" xfId="0" applyNumberFormat="1" applyFont="1" applyFill="1" applyBorder="1" applyAlignment="1">
      <alignment horizontal="left" vertical="center"/>
    </xf>
    <xf numFmtId="204" fontId="45" fillId="0" borderId="23" xfId="0" applyNumberFormat="1" applyFont="1" applyFill="1" applyBorder="1" applyAlignment="1">
      <alignment horizontal="center" vertical="center"/>
    </xf>
    <xf numFmtId="0" fontId="45" fillId="0" borderId="24" xfId="0" applyNumberFormat="1" applyFont="1" applyFill="1" applyBorder="1" applyAlignment="1">
      <alignment horizontal="center" vertical="center"/>
    </xf>
    <xf numFmtId="0" fontId="45" fillId="0" borderId="24" xfId="0" applyNumberFormat="1" applyFont="1" applyFill="1" applyBorder="1" applyAlignment="1">
      <alignment horizontal="left" vertical="center"/>
    </xf>
    <xf numFmtId="0" fontId="45" fillId="0" borderId="38" xfId="0" applyNumberFormat="1" applyFont="1" applyFill="1" applyBorder="1" applyAlignment="1">
      <alignment horizontal="left" vertical="center"/>
    </xf>
    <xf numFmtId="0" fontId="45" fillId="0" borderId="56" xfId="0" applyNumberFormat="1" applyFont="1" applyFill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left" vertical="center"/>
    </xf>
    <xf numFmtId="0" fontId="45" fillId="0" borderId="57" xfId="0" applyNumberFormat="1" applyFont="1" applyFill="1" applyBorder="1" applyAlignment="1">
      <alignment horizontal="left" vertical="center"/>
    </xf>
    <xf numFmtId="0" fontId="34" fillId="0" borderId="36" xfId="0" applyNumberFormat="1" applyFont="1" applyFill="1" applyBorder="1" applyAlignment="1">
      <alignment horizontal="left" vertical="center"/>
    </xf>
    <xf numFmtId="4" fontId="46" fillId="0" borderId="55" xfId="0" applyNumberFormat="1" applyFont="1" applyFill="1" applyBorder="1" applyAlignment="1">
      <alignment horizontal="center" vertical="center"/>
    </xf>
    <xf numFmtId="0" fontId="45" fillId="0" borderId="36" xfId="92" applyNumberFormat="1" applyFont="1" applyFill="1" applyBorder="1" applyAlignment="1">
      <alignment horizontal="center" vertical="center"/>
      <protection/>
    </xf>
    <xf numFmtId="0" fontId="45" fillId="0" borderId="36" xfId="92" applyFont="1" applyFill="1" applyBorder="1" applyAlignment="1">
      <alignment horizontal="left" vertical="center" wrapText="1"/>
      <protection/>
    </xf>
    <xf numFmtId="0" fontId="45" fillId="0" borderId="55" xfId="92" applyFont="1" applyFill="1" applyBorder="1" applyAlignment="1">
      <alignment horizontal="left" vertical="center" wrapText="1"/>
      <protection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/>
    </xf>
    <xf numFmtId="49" fontId="0" fillId="0" borderId="25" xfId="92" applyNumberFormat="1" applyFont="1" applyFill="1" applyBorder="1" applyAlignment="1">
      <alignment horizontal="center" vertical="center"/>
      <protection/>
    </xf>
    <xf numFmtId="4" fontId="0" fillId="0" borderId="19" xfId="154" applyNumberFormat="1" applyFont="1" applyFill="1" applyBorder="1" applyAlignment="1">
      <alignment horizontal="center" vertical="center"/>
    </xf>
    <xf numFmtId="49" fontId="0" fillId="0" borderId="58" xfId="92" applyNumberFormat="1" applyFont="1" applyFill="1" applyBorder="1" applyAlignment="1">
      <alignment horizontal="center" vertical="center"/>
      <protection/>
    </xf>
    <xf numFmtId="0" fontId="0" fillId="0" borderId="34" xfId="92" applyNumberFormat="1" applyFont="1" applyFill="1" applyBorder="1" applyAlignment="1">
      <alignment horizontal="center" vertical="center"/>
      <protection/>
    </xf>
    <xf numFmtId="0" fontId="0" fillId="0" borderId="34" xfId="92" applyFont="1" applyFill="1" applyBorder="1" applyAlignment="1">
      <alignment horizontal="left" vertical="center" wrapText="1"/>
      <protection/>
    </xf>
    <xf numFmtId="0" fontId="0" fillId="0" borderId="24" xfId="92" applyFont="1" applyFill="1" applyBorder="1" applyAlignment="1">
      <alignment horizontal="left" vertical="center" wrapText="1"/>
      <protection/>
    </xf>
    <xf numFmtId="204" fontId="5" fillId="0" borderId="59" xfId="0" applyNumberFormat="1" applyFont="1" applyFill="1" applyBorder="1" applyAlignment="1">
      <alignment horizontal="left" vertical="center"/>
    </xf>
    <xf numFmtId="204" fontId="5" fillId="0" borderId="21" xfId="0" applyNumberFormat="1" applyFont="1" applyFill="1" applyBorder="1" applyAlignment="1">
      <alignment horizontal="left" vertical="center"/>
    </xf>
    <xf numFmtId="204" fontId="5" fillId="0" borderId="23" xfId="0" applyNumberFormat="1" applyFont="1" applyFill="1" applyBorder="1" applyAlignment="1">
      <alignment horizontal="left" vertical="center"/>
    </xf>
    <xf numFmtId="9" fontId="17" fillId="0" borderId="37" xfId="114" applyFont="1" applyFill="1" applyBorder="1" applyAlignment="1">
      <alignment horizontal="center" vertical="center"/>
    </xf>
    <xf numFmtId="9" fontId="48" fillId="0" borderId="38" xfId="114" applyFont="1" applyFill="1" applyBorder="1" applyAlignment="1">
      <alignment horizontal="center" vertical="center"/>
    </xf>
    <xf numFmtId="9" fontId="17" fillId="0" borderId="24" xfId="114" applyFont="1" applyFill="1" applyBorder="1" applyAlignment="1">
      <alignment horizontal="center" vertical="center"/>
    </xf>
    <xf numFmtId="9" fontId="17" fillId="0" borderId="60" xfId="114" applyFont="1" applyFill="1" applyBorder="1" applyAlignment="1">
      <alignment horizontal="center" vertical="center"/>
    </xf>
    <xf numFmtId="9" fontId="5" fillId="0" borderId="0" xfId="0" applyNumberFormat="1" applyFont="1" applyAlignment="1">
      <alignment vertical="center"/>
    </xf>
    <xf numFmtId="2" fontId="92" fillId="0" borderId="21" xfId="92" applyNumberFormat="1" applyFont="1" applyFill="1" applyBorder="1" applyAlignment="1">
      <alignment horizontal="center" vertical="center"/>
      <protection/>
    </xf>
    <xf numFmtId="4" fontId="93" fillId="0" borderId="21" xfId="146" applyNumberFormat="1" applyFont="1" applyFill="1" applyBorder="1" applyAlignment="1">
      <alignment horizontal="center" vertical="center"/>
    </xf>
    <xf numFmtId="4" fontId="94" fillId="0" borderId="21" xfId="0" applyNumberFormat="1" applyFont="1" applyFill="1" applyBorder="1" applyAlignment="1">
      <alignment horizontal="center" vertical="center"/>
    </xf>
    <xf numFmtId="204" fontId="94" fillId="0" borderId="21" xfId="92" applyNumberFormat="1" applyFont="1" applyFill="1" applyBorder="1" applyAlignment="1">
      <alignment horizontal="center" vertical="center" wrapText="1"/>
      <protection/>
    </xf>
    <xf numFmtId="10" fontId="7" fillId="0" borderId="0" xfId="114" applyNumberFormat="1" applyFont="1" applyAlignment="1">
      <alignment horizontal="left" vertical="center" wrapText="1"/>
    </xf>
    <xf numFmtId="10" fontId="17" fillId="0" borderId="37" xfId="114" applyNumberFormat="1" applyFont="1" applyFill="1" applyBorder="1" applyAlignment="1">
      <alignment horizontal="center" vertical="center"/>
    </xf>
    <xf numFmtId="10" fontId="17" fillId="0" borderId="24" xfId="114" applyNumberFormat="1" applyFont="1" applyFill="1" applyBorder="1" applyAlignment="1">
      <alignment horizontal="center" vertical="center"/>
    </xf>
    <xf numFmtId="10" fontId="17" fillId="0" borderId="60" xfId="114" applyNumberFormat="1" applyFont="1" applyFill="1" applyBorder="1" applyAlignment="1">
      <alignment horizontal="center" vertical="center"/>
    </xf>
    <xf numFmtId="10" fontId="48" fillId="0" borderId="38" xfId="114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3" fillId="0" borderId="48" xfId="0" applyNumberFormat="1" applyFont="1" applyFill="1" applyBorder="1" applyAlignment="1">
      <alignment horizontal="left" vertical="center"/>
    </xf>
    <xf numFmtId="204" fontId="34" fillId="0" borderId="48" xfId="0" applyNumberFormat="1" applyFont="1" applyFill="1" applyBorder="1" applyAlignment="1">
      <alignment horizontal="center" vertical="center"/>
    </xf>
    <xf numFmtId="204" fontId="45" fillId="0" borderId="48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left" vertical="center"/>
    </xf>
    <xf numFmtId="204" fontId="34" fillId="0" borderId="45" xfId="0" applyNumberFormat="1" applyFont="1" applyFill="1" applyBorder="1" applyAlignment="1">
      <alignment horizontal="center" vertical="center"/>
    </xf>
    <xf numFmtId="10" fontId="45" fillId="0" borderId="45" xfId="117" applyNumberFormat="1" applyFont="1" applyFill="1" applyBorder="1" applyAlignment="1">
      <alignment horizontal="center" vertical="center"/>
    </xf>
    <xf numFmtId="0" fontId="34" fillId="0" borderId="45" xfId="0" applyNumberFormat="1" applyFont="1" applyFill="1" applyBorder="1" applyAlignment="1">
      <alignment horizontal="left" vertical="center"/>
    </xf>
    <xf numFmtId="0" fontId="7" fillId="0" borderId="61" xfId="92" applyFont="1" applyFill="1" applyBorder="1" applyAlignment="1">
      <alignment vertical="center"/>
      <protection/>
    </xf>
    <xf numFmtId="204" fontId="45" fillId="0" borderId="62" xfId="0" applyNumberFormat="1" applyFont="1" applyFill="1" applyBorder="1" applyAlignment="1">
      <alignment horizontal="center" vertical="center"/>
    </xf>
    <xf numFmtId="0" fontId="7" fillId="0" borderId="63" xfId="92" applyFont="1" applyFill="1" applyBorder="1" applyAlignment="1">
      <alignment vertical="center"/>
      <protection/>
    </xf>
    <xf numFmtId="10" fontId="45" fillId="0" borderId="64" xfId="117" applyNumberFormat="1" applyFont="1" applyFill="1" applyBorder="1" applyAlignment="1">
      <alignment horizontal="center" vertical="center"/>
    </xf>
    <xf numFmtId="0" fontId="38" fillId="0" borderId="26" xfId="92" applyFont="1" applyFill="1" applyBorder="1" applyAlignment="1">
      <alignment horizontal="left" vertical="center" wrapText="1"/>
      <protection/>
    </xf>
    <xf numFmtId="0" fontId="0" fillId="0" borderId="65" xfId="92" applyFont="1" applyFill="1" applyBorder="1" applyAlignment="1">
      <alignment horizontal="left" vertical="center" wrapText="1"/>
      <protection/>
    </xf>
    <xf numFmtId="0" fontId="0" fillId="0" borderId="58" xfId="92" applyFont="1" applyFill="1" applyBorder="1" applyAlignment="1">
      <alignment horizontal="left" vertical="center" wrapText="1"/>
      <protection/>
    </xf>
    <xf numFmtId="0" fontId="38" fillId="0" borderId="25" xfId="92" applyFont="1" applyFill="1" applyBorder="1" applyAlignment="1">
      <alignment vertical="center"/>
      <protection/>
    </xf>
    <xf numFmtId="0" fontId="38" fillId="0" borderId="26" xfId="0" applyNumberFormat="1" applyFont="1" applyFill="1" applyBorder="1" applyAlignment="1">
      <alignment horizontal="center" vertical="center"/>
    </xf>
    <xf numFmtId="4" fontId="38" fillId="0" borderId="19" xfId="92" applyNumberFormat="1" applyFont="1" applyFill="1" applyBorder="1" applyAlignment="1">
      <alignment vertical="center"/>
      <protection/>
    </xf>
    <xf numFmtId="0" fontId="0" fillId="0" borderId="44" xfId="92" applyFont="1" applyFill="1" applyBorder="1" applyAlignment="1">
      <alignment horizontal="left" vertical="center" wrapText="1"/>
      <protection/>
    </xf>
    <xf numFmtId="4" fontId="0" fillId="0" borderId="65" xfId="154" applyNumberFormat="1" applyFont="1" applyFill="1" applyBorder="1" applyAlignment="1">
      <alignment horizontal="center" vertical="center"/>
    </xf>
    <xf numFmtId="49" fontId="0" fillId="0" borderId="66" xfId="92" applyNumberFormat="1" applyFont="1" applyFill="1" applyBorder="1" applyAlignment="1">
      <alignment horizontal="center" vertical="center"/>
      <protection/>
    </xf>
    <xf numFmtId="0" fontId="0" fillId="0" borderId="67" xfId="92" applyNumberFormat="1" applyFont="1" applyFill="1" applyBorder="1" applyAlignment="1">
      <alignment horizontal="center" vertical="center"/>
      <protection/>
    </xf>
    <xf numFmtId="0" fontId="0" fillId="0" borderId="67" xfId="92" applyFont="1" applyFill="1" applyBorder="1" applyAlignment="1">
      <alignment horizontal="left" vertical="center" wrapText="1"/>
      <protection/>
    </xf>
    <xf numFmtId="4" fontId="0" fillId="0" borderId="67" xfId="154" applyNumberFormat="1" applyFont="1" applyFill="1" applyBorder="1" applyAlignment="1">
      <alignment horizontal="center" vertical="center"/>
    </xf>
    <xf numFmtId="0" fontId="0" fillId="0" borderId="67" xfId="92" applyFont="1" applyFill="1" applyBorder="1" applyAlignment="1">
      <alignment horizontal="center" vertical="center" wrapText="1"/>
      <protection/>
    </xf>
    <xf numFmtId="0" fontId="0" fillId="0" borderId="68" xfId="92" applyFont="1" applyFill="1" applyBorder="1" applyAlignment="1">
      <alignment horizontal="center" vertical="center" wrapText="1"/>
      <protection/>
    </xf>
    <xf numFmtId="0" fontId="41" fillId="0" borderId="28" xfId="0" applyFont="1" applyFill="1" applyBorder="1" applyAlignment="1" applyProtection="1">
      <alignment vertical="center"/>
      <protection/>
    </xf>
    <xf numFmtId="0" fontId="41" fillId="0" borderId="39" xfId="0" applyFont="1" applyFill="1" applyBorder="1" applyAlignment="1" applyProtection="1">
      <alignment vertical="center"/>
      <protection/>
    </xf>
    <xf numFmtId="0" fontId="41" fillId="0" borderId="29" xfId="0" applyFont="1" applyFill="1" applyBorder="1" applyAlignment="1" applyProtection="1">
      <alignment vertical="center"/>
      <protection/>
    </xf>
    <xf numFmtId="2" fontId="5" fillId="0" borderId="26" xfId="0" applyNumberFormat="1" applyFont="1" applyFill="1" applyBorder="1" applyAlignment="1">
      <alignment horizontal="left" vertical="center"/>
    </xf>
    <xf numFmtId="0" fontId="5" fillId="0" borderId="0" xfId="89" applyFont="1" applyFill="1" applyBorder="1" applyAlignment="1" applyProtection="1">
      <alignment vertical="center"/>
      <protection/>
    </xf>
    <xf numFmtId="10" fontId="5" fillId="0" borderId="20" xfId="0" applyNumberFormat="1" applyFont="1" applyFill="1" applyBorder="1" applyAlignment="1">
      <alignment vertical="center"/>
    </xf>
    <xf numFmtId="204" fontId="0" fillId="0" borderId="0" xfId="92" applyNumberFormat="1" applyFont="1" applyFill="1" applyBorder="1" applyAlignment="1">
      <alignment horizontal="center" vertical="center" wrapText="1"/>
      <protection/>
    </xf>
    <xf numFmtId="204" fontId="0" fillId="0" borderId="0" xfId="9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92" applyFont="1" applyFill="1" applyBorder="1" applyAlignment="1">
      <alignment vertical="center"/>
      <protection/>
    </xf>
    <xf numFmtId="2" fontId="0" fillId="0" borderId="21" xfId="92" applyNumberFormat="1" applyFont="1" applyFill="1" applyBorder="1" applyAlignment="1">
      <alignment horizontal="center" vertical="center"/>
      <protection/>
    </xf>
    <xf numFmtId="49" fontId="0" fillId="0" borderId="21" xfId="0" applyNumberFormat="1" applyBorder="1" applyAlignment="1">
      <alignment horizontal="center" vertical="center"/>
    </xf>
    <xf numFmtId="0" fontId="9" fillId="52" borderId="40" xfId="0" applyNumberFormat="1" applyFont="1" applyFill="1" applyBorder="1" applyAlignment="1">
      <alignment horizontal="center" vertical="center"/>
    </xf>
    <xf numFmtId="0" fontId="9" fillId="52" borderId="40" xfId="0" applyNumberFormat="1" applyFont="1" applyFill="1" applyBorder="1" applyAlignment="1">
      <alignment horizontal="left" vertical="center"/>
    </xf>
    <xf numFmtId="0" fontId="5" fillId="52" borderId="40" xfId="92" applyFont="1" applyFill="1" applyBorder="1" applyAlignment="1">
      <alignment horizontal="center" vertical="center"/>
      <protection/>
    </xf>
    <xf numFmtId="4" fontId="1" fillId="52" borderId="40" xfId="146" applyNumberFormat="1" applyFont="1" applyFill="1" applyBorder="1" applyAlignment="1">
      <alignment horizontal="center" vertical="center"/>
    </xf>
    <xf numFmtId="2" fontId="0" fillId="52" borderId="40" xfId="92" applyNumberFormat="1" applyFont="1" applyFill="1" applyBorder="1" applyAlignment="1">
      <alignment horizontal="center" vertical="center"/>
      <protection/>
    </xf>
    <xf numFmtId="10" fontId="0" fillId="52" borderId="41" xfId="114" applyNumberFormat="1" applyFont="1" applyFill="1" applyBorder="1" applyAlignment="1">
      <alignment horizontal="center" vertical="center"/>
    </xf>
    <xf numFmtId="184" fontId="0" fillId="0" borderId="0" xfId="92" applyNumberFormat="1" applyFont="1" applyFill="1" applyAlignment="1">
      <alignment vertical="center" wrapText="1"/>
      <protection/>
    </xf>
    <xf numFmtId="0" fontId="0" fillId="0" borderId="36" xfId="92" applyFont="1" applyFill="1" applyBorder="1" applyAlignment="1">
      <alignment horizontal="center" vertical="center"/>
      <protection/>
    </xf>
    <xf numFmtId="4" fontId="0" fillId="0" borderId="36" xfId="146" applyNumberFormat="1" applyFont="1" applyFill="1" applyBorder="1" applyAlignment="1">
      <alignment horizontal="center" vertical="center"/>
    </xf>
    <xf numFmtId="2" fontId="0" fillId="0" borderId="36" xfId="146" applyNumberFormat="1" applyFont="1" applyFill="1" applyBorder="1" applyAlignment="1">
      <alignment horizontal="center" vertical="center"/>
    </xf>
    <xf numFmtId="2" fontId="0" fillId="0" borderId="36" xfId="146" applyNumberFormat="1" applyFont="1" applyFill="1" applyBorder="1" applyAlignment="1">
      <alignment horizontal="center" vertical="center" wrapText="1"/>
    </xf>
    <xf numFmtId="4" fontId="0" fillId="0" borderId="55" xfId="146" applyNumberFormat="1" applyFont="1" applyFill="1" applyBorder="1" applyAlignment="1">
      <alignment horizontal="center" vertical="center"/>
    </xf>
    <xf numFmtId="0" fontId="7" fillId="52" borderId="59" xfId="92" applyFont="1" applyFill="1" applyBorder="1" applyAlignment="1">
      <alignment vertical="center"/>
      <protection/>
    </xf>
    <xf numFmtId="4" fontId="9" fillId="52" borderId="23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48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Border="1" applyAlignment="1">
      <alignment/>
    </xf>
    <xf numFmtId="0" fontId="50" fillId="0" borderId="0" xfId="89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>
      <alignment horizontal="left" vertical="center"/>
    </xf>
    <xf numFmtId="0" fontId="49" fillId="0" borderId="0" xfId="89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2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left" vertical="center"/>
    </xf>
    <xf numFmtId="204" fontId="52" fillId="0" borderId="0" xfId="0" applyNumberFormat="1" applyFont="1" applyFill="1" applyBorder="1" applyAlignment="1">
      <alignment horizontal="center" vertical="center"/>
    </xf>
    <xf numFmtId="0" fontId="52" fillId="0" borderId="0" xfId="92" applyNumberFormat="1" applyFont="1" applyFill="1" applyBorder="1" applyAlignment="1">
      <alignment horizontal="center" vertical="center"/>
      <protection/>
    </xf>
    <xf numFmtId="0" fontId="52" fillId="0" borderId="0" xfId="92" applyFont="1" applyFill="1" applyBorder="1" applyAlignment="1">
      <alignment horizontal="left" vertical="center" wrapText="1"/>
      <protection/>
    </xf>
    <xf numFmtId="0" fontId="49" fillId="0" borderId="0" xfId="92" applyFont="1" applyFill="1" applyBorder="1" applyAlignment="1">
      <alignment vertical="center"/>
      <protection/>
    </xf>
    <xf numFmtId="0" fontId="50" fillId="0" borderId="0" xfId="92" applyFont="1" applyFill="1" applyBorder="1" applyAlignment="1">
      <alignment vertical="center"/>
      <protection/>
    </xf>
    <xf numFmtId="0" fontId="53" fillId="0" borderId="0" xfId="100" applyFont="1" applyBorder="1" applyAlignment="1">
      <alignment vertical="center"/>
      <protection/>
    </xf>
    <xf numFmtId="0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Fill="1" applyBorder="1" applyAlignment="1" applyProtection="1">
      <alignment vertical="center"/>
      <protection/>
    </xf>
    <xf numFmtId="0" fontId="51" fillId="52" borderId="21" xfId="92" applyNumberFormat="1" applyFont="1" applyFill="1" applyBorder="1" applyAlignment="1">
      <alignment horizontal="center" vertical="center"/>
      <protection/>
    </xf>
    <xf numFmtId="0" fontId="51" fillId="52" borderId="21" xfId="92" applyFont="1" applyFill="1" applyBorder="1" applyAlignment="1">
      <alignment horizontal="left" vertical="center" wrapText="1"/>
      <protection/>
    </xf>
    <xf numFmtId="4" fontId="51" fillId="52" borderId="21" xfId="154" applyNumberFormat="1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center" vertical="center"/>
    </xf>
    <xf numFmtId="0" fontId="52" fillId="0" borderId="21" xfId="0" applyNumberFormat="1" applyFont="1" applyFill="1" applyBorder="1" applyAlignment="1">
      <alignment horizontal="left" vertical="center"/>
    </xf>
    <xf numFmtId="204" fontId="52" fillId="0" borderId="21" xfId="0" applyNumberFormat="1" applyFont="1" applyFill="1" applyBorder="1" applyAlignment="1">
      <alignment horizontal="center" vertical="center"/>
    </xf>
    <xf numFmtId="0" fontId="52" fillId="0" borderId="35" xfId="92" applyNumberFormat="1" applyFont="1" applyFill="1" applyBorder="1" applyAlignment="1">
      <alignment horizontal="center" vertical="center"/>
      <protection/>
    </xf>
    <xf numFmtId="0" fontId="52" fillId="0" borderId="40" xfId="92" applyFont="1" applyFill="1" applyBorder="1" applyAlignment="1">
      <alignment horizontal="left" vertical="center" wrapText="1"/>
      <protection/>
    </xf>
    <xf numFmtId="204" fontId="52" fillId="0" borderId="41" xfId="92" applyNumberFormat="1" applyFont="1" applyFill="1" applyBorder="1" applyAlignment="1">
      <alignment horizontal="left" vertical="center" wrapText="1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0" fillId="0" borderId="0" xfId="92" applyFont="1" applyFill="1" applyAlignment="1">
      <alignment horizontal="center" vertical="center" wrapText="1"/>
      <protection/>
    </xf>
    <xf numFmtId="0" fontId="16" fillId="0" borderId="39" xfId="0" applyFont="1" applyFill="1" applyBorder="1" applyAlignment="1">
      <alignment horizontal="left" vertical="center" wrapText="1"/>
    </xf>
    <xf numFmtId="184" fontId="16" fillId="0" borderId="39" xfId="76" applyNumberFormat="1" applyFont="1" applyFill="1" applyBorder="1" applyAlignment="1">
      <alignment horizontal="center" vertical="center"/>
    </xf>
    <xf numFmtId="184" fontId="16" fillId="0" borderId="29" xfId="76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  <protection/>
    </xf>
    <xf numFmtId="0" fontId="43" fillId="48" borderId="39" xfId="0" applyFont="1" applyFill="1" applyBorder="1" applyAlignment="1" applyProtection="1">
      <alignment horizontal="center" vertical="center"/>
      <protection/>
    </xf>
    <xf numFmtId="2" fontId="4" fillId="0" borderId="35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</cellXfs>
  <cellStyles count="14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 2" xfId="75"/>
    <cellStyle name="Currency" xfId="76"/>
    <cellStyle name="Currency [0]" xfId="77"/>
    <cellStyle name="Moeda 2" xfId="78"/>
    <cellStyle name="Moeda 2 2" xfId="79"/>
    <cellStyle name="Moeda 3" xfId="80"/>
    <cellStyle name="Moeda 3 2" xfId="81"/>
    <cellStyle name="Moeda 4" xfId="82"/>
    <cellStyle name="Moeda 5" xfId="83"/>
    <cellStyle name="Moeda 5 2" xfId="84"/>
    <cellStyle name="Moeda 6" xfId="85"/>
    <cellStyle name="Moeda 7" xfId="86"/>
    <cellStyle name="Neutra 2" xfId="87"/>
    <cellStyle name="Neutro" xfId="88"/>
    <cellStyle name="Normal 10" xfId="89"/>
    <cellStyle name="Normal 11" xfId="90"/>
    <cellStyle name="Normal 12" xfId="91"/>
    <cellStyle name="Normal 2" xfId="92"/>
    <cellStyle name="Normal 2 2" xfId="93"/>
    <cellStyle name="Normal 2 2 2" xfId="94"/>
    <cellStyle name="Normal 2 2 3" xfId="95"/>
    <cellStyle name="Normal 2 3" xfId="96"/>
    <cellStyle name="Normal 2 3 2" xfId="97"/>
    <cellStyle name="Normal 2 4" xfId="98"/>
    <cellStyle name="Normal 2 5" xfId="99"/>
    <cellStyle name="Normal 3" xfId="100"/>
    <cellStyle name="Normal 3 2" xfId="101"/>
    <cellStyle name="Normal 3 2 2" xfId="102"/>
    <cellStyle name="Normal 3 3" xfId="103"/>
    <cellStyle name="Normal 4" xfId="104"/>
    <cellStyle name="Normal 4 2" xfId="105"/>
    <cellStyle name="Normal 5" xfId="106"/>
    <cellStyle name="Normal 5 2" xfId="107"/>
    <cellStyle name="Normal 6" xfId="108"/>
    <cellStyle name="Normal 7" xfId="109"/>
    <cellStyle name="Normal 8" xfId="110"/>
    <cellStyle name="Normal 9" xfId="111"/>
    <cellStyle name="Nota" xfId="112"/>
    <cellStyle name="Nota 2" xfId="113"/>
    <cellStyle name="Percent" xfId="114"/>
    <cellStyle name="Porcentagem 2" xfId="115"/>
    <cellStyle name="Porcentagem 2 2" xfId="116"/>
    <cellStyle name="Porcentagem 2 3" xfId="117"/>
    <cellStyle name="Porcentagem 3" xfId="118"/>
    <cellStyle name="Porcentagem 3 2" xfId="119"/>
    <cellStyle name="Porcentagem 4" xfId="120"/>
    <cellStyle name="Porcentagem 4 2" xfId="121"/>
    <cellStyle name="Porcentagem 5" xfId="122"/>
    <cellStyle name="Porcentagem 5 2" xfId="123"/>
    <cellStyle name="Porcentagem 6" xfId="124"/>
    <cellStyle name="Porcentagem 7" xfId="125"/>
    <cellStyle name="Ruim" xfId="126"/>
    <cellStyle name="Saída" xfId="127"/>
    <cellStyle name="Saída 2" xfId="128"/>
    <cellStyle name="Comma [0]" xfId="129"/>
    <cellStyle name="Texto de Aviso" xfId="130"/>
    <cellStyle name="Texto de Aviso 2" xfId="131"/>
    <cellStyle name="Texto Explicativo" xfId="132"/>
    <cellStyle name="Texto Explicativo 2" xfId="133"/>
    <cellStyle name="Título" xfId="134"/>
    <cellStyle name="Título 1" xfId="135"/>
    <cellStyle name="Título 1 2" xfId="136"/>
    <cellStyle name="Título 2" xfId="137"/>
    <cellStyle name="Título 2 2" xfId="138"/>
    <cellStyle name="Título 3" xfId="139"/>
    <cellStyle name="Título 3 2" xfId="140"/>
    <cellStyle name="Título 4" xfId="141"/>
    <cellStyle name="Título 4 2" xfId="142"/>
    <cellStyle name="Título 5" xfId="143"/>
    <cellStyle name="Total" xfId="144"/>
    <cellStyle name="Total 2" xfId="145"/>
    <cellStyle name="Comma" xfId="146"/>
    <cellStyle name="Vírgula 2" xfId="147"/>
    <cellStyle name="Vírgula 2 2" xfId="148"/>
    <cellStyle name="Vírgula 2 2 2" xfId="149"/>
    <cellStyle name="Vírgula 2 3" xfId="150"/>
    <cellStyle name="Vírgula 3" xfId="151"/>
    <cellStyle name="Vírgula 3 2" xfId="152"/>
    <cellStyle name="Vírgula 3 3" xfId="153"/>
    <cellStyle name="Vírgula 4" xfId="154"/>
    <cellStyle name="Vírgula 4 2" xfId="155"/>
    <cellStyle name="Vírgula 5" xfId="156"/>
    <cellStyle name="Vírgula 5 2" xfId="157"/>
    <cellStyle name="Vírgula 6" xfId="158"/>
    <cellStyle name="Vírgula 7" xfId="159"/>
  </cellStyles>
  <dxfs count="46">
    <dxf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  <dxf>
      <font>
        <u val="none"/>
        <strike val="0"/>
        <color auto="1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zoomScale="55" zoomScaleNormal="55" zoomScaleSheetLayoutView="55" zoomScalePageLayoutView="40" workbookViewId="0" topLeftCell="A1">
      <selection activeCell="F21" sqref="F21"/>
    </sheetView>
  </sheetViews>
  <sheetFormatPr defaultColWidth="9.140625" defaultRowHeight="12.75"/>
  <cols>
    <col min="1" max="1" width="2.28125" style="25" customWidth="1"/>
    <col min="2" max="2" width="9.7109375" style="25" customWidth="1"/>
    <col min="3" max="3" width="9.7109375" style="32" bestFit="1" customWidth="1"/>
    <col min="4" max="4" width="63.28125" style="33" bestFit="1" customWidth="1"/>
    <col min="5" max="5" width="29.421875" style="33" customWidth="1"/>
    <col min="6" max="18" width="24.57421875" style="33" customWidth="1"/>
    <col min="19" max="19" width="23.00390625" style="33" customWidth="1"/>
    <col min="20" max="20" width="23.00390625" style="34" customWidth="1"/>
    <col min="21" max="23" width="23.00390625" style="25" customWidth="1"/>
    <col min="24" max="16384" width="9.140625" style="25" customWidth="1"/>
  </cols>
  <sheetData>
    <row r="1" spans="2:20" s="1" customFormat="1" ht="20.25" thickBot="1">
      <c r="B1" s="282" t="s">
        <v>429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4"/>
    </row>
    <row r="2" spans="2:20" s="2" customFormat="1" ht="19.5" customHeight="1">
      <c r="B2" s="123" t="s">
        <v>415</v>
      </c>
      <c r="C2" s="12" t="s">
        <v>422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4"/>
    </row>
    <row r="3" spans="2:20" s="2" customFormat="1" ht="19.5" customHeight="1" thickBot="1">
      <c r="B3" s="123" t="s">
        <v>416</v>
      </c>
      <c r="C3" s="12" t="s">
        <v>399</v>
      </c>
      <c r="D3" s="209"/>
      <c r="E3" s="117"/>
      <c r="F3" s="209"/>
      <c r="G3" s="117"/>
      <c r="H3" s="209"/>
      <c r="I3" s="209"/>
      <c r="J3" s="11"/>
      <c r="K3" s="209"/>
      <c r="L3" s="209"/>
      <c r="M3" s="209"/>
      <c r="N3" s="209"/>
      <c r="O3" s="209"/>
      <c r="P3" s="209"/>
      <c r="Q3" s="209"/>
      <c r="R3" s="209"/>
      <c r="S3" s="209"/>
      <c r="T3" s="4"/>
    </row>
    <row r="4" spans="2:22" s="29" customFormat="1" ht="6.75" customHeight="1" thickBot="1">
      <c r="B4" s="271"/>
      <c r="C4" s="272"/>
      <c r="D4" s="268" t="s">
        <v>410</v>
      </c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73"/>
      <c r="V4" s="2"/>
    </row>
    <row r="5" spans="2:22" ht="27" customHeight="1" thickBot="1">
      <c r="B5" s="276" t="s">
        <v>65</v>
      </c>
      <c r="C5" s="277" t="s">
        <v>66</v>
      </c>
      <c r="D5" s="278" t="s">
        <v>67</v>
      </c>
      <c r="E5" s="279" t="s">
        <v>61</v>
      </c>
      <c r="F5" s="280" t="s">
        <v>363</v>
      </c>
      <c r="G5" s="280" t="s">
        <v>364</v>
      </c>
      <c r="H5" s="280" t="s">
        <v>365</v>
      </c>
      <c r="I5" s="280" t="s">
        <v>366</v>
      </c>
      <c r="J5" s="280" t="s">
        <v>367</v>
      </c>
      <c r="K5" s="280" t="s">
        <v>368</v>
      </c>
      <c r="L5" s="280" t="s">
        <v>402</v>
      </c>
      <c r="M5" s="280" t="s">
        <v>403</v>
      </c>
      <c r="N5" s="280" t="s">
        <v>404</v>
      </c>
      <c r="O5" s="280" t="s">
        <v>405</v>
      </c>
      <c r="P5" s="280" t="s">
        <v>417</v>
      </c>
      <c r="Q5" s="280" t="s">
        <v>418</v>
      </c>
      <c r="R5" s="280" t="s">
        <v>419</v>
      </c>
      <c r="S5" s="280" t="s">
        <v>420</v>
      </c>
      <c r="T5" s="281" t="s">
        <v>421</v>
      </c>
      <c r="V5" s="2"/>
    </row>
    <row r="6" spans="1:22" s="30" customFormat="1" ht="18" customHeight="1">
      <c r="A6" s="25"/>
      <c r="B6" s="235"/>
      <c r="C6" s="236"/>
      <c r="D6" s="237"/>
      <c r="E6" s="269"/>
      <c r="F6" s="270"/>
      <c r="G6" s="237"/>
      <c r="H6" s="237"/>
      <c r="I6" s="237"/>
      <c r="J6" s="237"/>
      <c r="K6" s="237"/>
      <c r="L6" s="274"/>
      <c r="M6" s="274"/>
      <c r="N6" s="274"/>
      <c r="O6" s="274"/>
      <c r="P6" s="274"/>
      <c r="Q6" s="274"/>
      <c r="R6" s="274"/>
      <c r="S6" s="274"/>
      <c r="T6" s="275"/>
      <c r="V6" s="2"/>
    </row>
    <row r="7" spans="2:22" s="30" customFormat="1" ht="23.25" customHeight="1">
      <c r="B7" s="110"/>
      <c r="C7" s="216">
        <v>1</v>
      </c>
      <c r="D7" s="217" t="str">
        <f>VLOOKUP(C7,'PLANILHA '!$C$7:$I$209,2,FALSE)</f>
        <v>SERVIÇOS PRELIMINARES</v>
      </c>
      <c r="E7" s="218">
        <f>VLOOKUP(C7,'PLANILHA '!$C$7:$I$209,7,FALSE)</f>
        <v>0</v>
      </c>
      <c r="F7" s="239">
        <f>$E7*F8</f>
        <v>0</v>
      </c>
      <c r="G7" s="240">
        <f>$E7*G8</f>
        <v>0</v>
      </c>
      <c r="H7" s="240">
        <f aca="true" t="shared" si="0" ref="H7:T7">$E7*H8</f>
        <v>0</v>
      </c>
      <c r="I7" s="240">
        <f t="shared" si="0"/>
        <v>0</v>
      </c>
      <c r="J7" s="240">
        <f t="shared" si="0"/>
        <v>0</v>
      </c>
      <c r="K7" s="240">
        <f t="shared" si="0"/>
        <v>0</v>
      </c>
      <c r="L7" s="240">
        <f t="shared" si="0"/>
        <v>0</v>
      </c>
      <c r="M7" s="240">
        <f t="shared" si="0"/>
        <v>0</v>
      </c>
      <c r="N7" s="240">
        <f t="shared" si="0"/>
        <v>0</v>
      </c>
      <c r="O7" s="240">
        <f>$E7*O8</f>
        <v>0</v>
      </c>
      <c r="P7" s="240">
        <f>$E7*P8</f>
        <v>0</v>
      </c>
      <c r="Q7" s="240">
        <f>$E7*Q8</f>
        <v>0</v>
      </c>
      <c r="R7" s="240">
        <f>$E7*R8</f>
        <v>0</v>
      </c>
      <c r="S7" s="240">
        <f>$E7*S8</f>
        <v>0</v>
      </c>
      <c r="T7" s="241">
        <f t="shared" si="0"/>
        <v>0</v>
      </c>
      <c r="V7" s="2"/>
    </row>
    <row r="8" spans="2:22" s="30" customFormat="1" ht="18" customHeight="1" thickBot="1">
      <c r="B8" s="111"/>
      <c r="C8" s="219"/>
      <c r="D8" s="220"/>
      <c r="E8" s="221"/>
      <c r="F8" s="242">
        <v>1</v>
      </c>
      <c r="G8" s="244"/>
      <c r="H8" s="244"/>
      <c r="I8" s="244"/>
      <c r="J8" s="244"/>
      <c r="K8" s="244"/>
      <c r="L8" s="245"/>
      <c r="M8" s="245"/>
      <c r="N8" s="245"/>
      <c r="O8" s="245"/>
      <c r="P8" s="245"/>
      <c r="Q8" s="245"/>
      <c r="R8" s="245"/>
      <c r="S8" s="245"/>
      <c r="T8" s="243"/>
      <c r="V8" s="246">
        <f>SUM(F8:T8)</f>
        <v>1</v>
      </c>
    </row>
    <row r="9" spans="2:22" s="30" customFormat="1" ht="18" customHeight="1">
      <c r="B9" s="203"/>
      <c r="C9" s="222"/>
      <c r="D9" s="223"/>
      <c r="E9" s="224"/>
      <c r="F9" s="204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6"/>
      <c r="V9" s="2"/>
    </row>
    <row r="10" spans="2:22" s="30" customFormat="1" ht="18" customHeight="1">
      <c r="B10" s="110"/>
      <c r="C10" s="216">
        <v>2</v>
      </c>
      <c r="D10" s="217" t="str">
        <f>VLOOKUP(C10,'PLANILHA '!$C$7:$I$209,2,FALSE)</f>
        <v>DEMOLIÇÃO</v>
      </c>
      <c r="E10" s="218">
        <f>VLOOKUP(C10,'PLANILHA '!$C$7:$I$209,7,FALSE)</f>
        <v>0</v>
      </c>
      <c r="F10" s="239">
        <f aca="true" t="shared" si="1" ref="F10:T10">$E10*F11</f>
        <v>0</v>
      </c>
      <c r="G10" s="240">
        <f t="shared" si="1"/>
        <v>0</v>
      </c>
      <c r="H10" s="240">
        <f t="shared" si="1"/>
        <v>0</v>
      </c>
      <c r="I10" s="240">
        <f t="shared" si="1"/>
        <v>0</v>
      </c>
      <c r="J10" s="240">
        <f t="shared" si="1"/>
        <v>0</v>
      </c>
      <c r="K10" s="240">
        <f t="shared" si="1"/>
        <v>0</v>
      </c>
      <c r="L10" s="240">
        <f t="shared" si="1"/>
        <v>0</v>
      </c>
      <c r="M10" s="240">
        <f t="shared" si="1"/>
        <v>0</v>
      </c>
      <c r="N10" s="240">
        <f t="shared" si="1"/>
        <v>0</v>
      </c>
      <c r="O10" s="240">
        <f t="shared" si="1"/>
        <v>0</v>
      </c>
      <c r="P10" s="240">
        <f t="shared" si="1"/>
        <v>0</v>
      </c>
      <c r="Q10" s="240">
        <f t="shared" si="1"/>
        <v>0</v>
      </c>
      <c r="R10" s="240">
        <f t="shared" si="1"/>
        <v>0</v>
      </c>
      <c r="S10" s="240">
        <f t="shared" si="1"/>
        <v>0</v>
      </c>
      <c r="T10" s="241">
        <f t="shared" si="1"/>
        <v>0</v>
      </c>
      <c r="V10" s="2"/>
    </row>
    <row r="11" spans="2:22" s="30" customFormat="1" ht="18" customHeight="1" thickBot="1">
      <c r="B11" s="203"/>
      <c r="C11" s="222"/>
      <c r="D11" s="223"/>
      <c r="E11" s="224"/>
      <c r="F11" s="242">
        <v>0.5</v>
      </c>
      <c r="G11" s="244">
        <v>0.5</v>
      </c>
      <c r="H11" s="244"/>
      <c r="I11" s="244"/>
      <c r="J11" s="244"/>
      <c r="K11" s="244"/>
      <c r="L11" s="245"/>
      <c r="M11" s="245"/>
      <c r="N11" s="245"/>
      <c r="O11" s="245"/>
      <c r="P11" s="245"/>
      <c r="Q11" s="245"/>
      <c r="R11" s="245"/>
      <c r="S11" s="245"/>
      <c r="T11" s="243"/>
      <c r="V11" s="246">
        <f>SUM(F11:T11)</f>
        <v>1</v>
      </c>
    </row>
    <row r="12" spans="1:22" s="30" customFormat="1" ht="18" customHeight="1">
      <c r="A12" s="25"/>
      <c r="B12" s="210"/>
      <c r="C12" s="227"/>
      <c r="D12" s="228"/>
      <c r="E12" s="229"/>
      <c r="F12" s="213"/>
      <c r="G12" s="212"/>
      <c r="H12" s="213"/>
      <c r="I12" s="212"/>
      <c r="J12" s="212"/>
      <c r="K12" s="212"/>
      <c r="L12" s="212"/>
      <c r="M12" s="212"/>
      <c r="N12" s="214"/>
      <c r="O12" s="214"/>
      <c r="P12" s="214"/>
      <c r="Q12" s="214"/>
      <c r="R12" s="214"/>
      <c r="S12" s="214"/>
      <c r="T12" s="215"/>
      <c r="V12" s="2"/>
    </row>
    <row r="13" spans="2:22" s="30" customFormat="1" ht="23.25" customHeight="1">
      <c r="B13" s="110"/>
      <c r="C13" s="216">
        <v>3</v>
      </c>
      <c r="D13" s="217" t="str">
        <f>VLOOKUP(C13,'PLANILHA '!$C$7:$I$209,2,FALSE)</f>
        <v>FUNDAÇÃO</v>
      </c>
      <c r="E13" s="218">
        <f>VLOOKUP(C13,'PLANILHA '!$C$7:$I$209,7,FALSE)</f>
        <v>0</v>
      </c>
      <c r="F13" s="239">
        <f aca="true" t="shared" si="2" ref="F13:T13">$E13*F14</f>
        <v>0</v>
      </c>
      <c r="G13" s="240">
        <f t="shared" si="2"/>
        <v>0</v>
      </c>
      <c r="H13" s="240">
        <f t="shared" si="2"/>
        <v>0</v>
      </c>
      <c r="I13" s="240">
        <f t="shared" si="2"/>
        <v>0</v>
      </c>
      <c r="J13" s="240">
        <f t="shared" si="2"/>
        <v>0</v>
      </c>
      <c r="K13" s="240">
        <f t="shared" si="2"/>
        <v>0</v>
      </c>
      <c r="L13" s="240">
        <f t="shared" si="2"/>
        <v>0</v>
      </c>
      <c r="M13" s="240">
        <f t="shared" si="2"/>
        <v>0</v>
      </c>
      <c r="N13" s="240">
        <f t="shared" si="2"/>
        <v>0</v>
      </c>
      <c r="O13" s="240">
        <f t="shared" si="2"/>
        <v>0</v>
      </c>
      <c r="P13" s="240">
        <f t="shared" si="2"/>
        <v>0</v>
      </c>
      <c r="Q13" s="240">
        <f t="shared" si="2"/>
        <v>0</v>
      </c>
      <c r="R13" s="240">
        <f t="shared" si="2"/>
        <v>0</v>
      </c>
      <c r="S13" s="240">
        <f t="shared" si="2"/>
        <v>0</v>
      </c>
      <c r="T13" s="241">
        <f t="shared" si="2"/>
        <v>0</v>
      </c>
      <c r="V13" s="2"/>
    </row>
    <row r="14" spans="2:22" s="30" customFormat="1" ht="18" customHeight="1" thickBot="1">
      <c r="B14" s="111"/>
      <c r="C14" s="219"/>
      <c r="D14" s="220"/>
      <c r="E14" s="221"/>
      <c r="F14" s="242"/>
      <c r="G14" s="244"/>
      <c r="H14" s="244">
        <v>0.5</v>
      </c>
      <c r="I14" s="244">
        <v>0.5</v>
      </c>
      <c r="J14" s="244"/>
      <c r="K14" s="244"/>
      <c r="L14" s="245"/>
      <c r="M14" s="245"/>
      <c r="N14" s="245"/>
      <c r="O14" s="245"/>
      <c r="P14" s="245"/>
      <c r="Q14" s="245"/>
      <c r="R14" s="245"/>
      <c r="S14" s="245"/>
      <c r="T14" s="243"/>
      <c r="V14" s="246">
        <f>SUM(F14:T14)</f>
        <v>1</v>
      </c>
    </row>
    <row r="15" spans="1:22" s="30" customFormat="1" ht="18" customHeight="1">
      <c r="A15" s="25"/>
      <c r="B15" s="210"/>
      <c r="C15" s="227"/>
      <c r="D15" s="228"/>
      <c r="E15" s="229"/>
      <c r="F15" s="213"/>
      <c r="G15" s="212"/>
      <c r="H15" s="213"/>
      <c r="I15" s="212"/>
      <c r="J15" s="212"/>
      <c r="K15" s="212"/>
      <c r="L15" s="212"/>
      <c r="M15" s="212"/>
      <c r="N15" s="214"/>
      <c r="O15" s="214"/>
      <c r="P15" s="214"/>
      <c r="Q15" s="214"/>
      <c r="R15" s="214"/>
      <c r="S15" s="214"/>
      <c r="T15" s="215"/>
      <c r="V15" s="2"/>
    </row>
    <row r="16" spans="2:22" s="30" customFormat="1" ht="23.25" customHeight="1">
      <c r="B16" s="110"/>
      <c r="C16" s="216">
        <f>C13+1</f>
        <v>4</v>
      </c>
      <c r="D16" s="217" t="str">
        <f>VLOOKUP(C16,'PLANILHA '!$C$7:$I$209,2,FALSE)</f>
        <v>ESTRUTURA</v>
      </c>
      <c r="E16" s="218">
        <f>VLOOKUP(C16,'PLANILHA '!$C$7:$I$209,7,FALSE)</f>
        <v>0</v>
      </c>
      <c r="F16" s="239">
        <f aca="true" t="shared" si="3" ref="F16:T16">$E16*F17</f>
        <v>0</v>
      </c>
      <c r="G16" s="240">
        <f t="shared" si="3"/>
        <v>0</v>
      </c>
      <c r="H16" s="240">
        <f t="shared" si="3"/>
        <v>0</v>
      </c>
      <c r="I16" s="240">
        <f t="shared" si="3"/>
        <v>0</v>
      </c>
      <c r="J16" s="240">
        <f t="shared" si="3"/>
        <v>0</v>
      </c>
      <c r="K16" s="240">
        <f t="shared" si="3"/>
        <v>0</v>
      </c>
      <c r="L16" s="240">
        <f t="shared" si="3"/>
        <v>0</v>
      </c>
      <c r="M16" s="240">
        <f t="shared" si="3"/>
        <v>0</v>
      </c>
      <c r="N16" s="240">
        <f t="shared" si="3"/>
        <v>0</v>
      </c>
      <c r="O16" s="240">
        <f t="shared" si="3"/>
        <v>0</v>
      </c>
      <c r="P16" s="240">
        <f t="shared" si="3"/>
        <v>0</v>
      </c>
      <c r="Q16" s="240">
        <f t="shared" si="3"/>
        <v>0</v>
      </c>
      <c r="R16" s="240">
        <f t="shared" si="3"/>
        <v>0</v>
      </c>
      <c r="S16" s="240">
        <f t="shared" si="3"/>
        <v>0</v>
      </c>
      <c r="T16" s="241">
        <f t="shared" si="3"/>
        <v>0</v>
      </c>
      <c r="V16" s="2"/>
    </row>
    <row r="17" spans="2:22" s="30" customFormat="1" ht="18" customHeight="1" thickBot="1">
      <c r="B17" s="111"/>
      <c r="C17" s="219"/>
      <c r="D17" s="220"/>
      <c r="E17" s="221"/>
      <c r="F17" s="242"/>
      <c r="G17" s="244"/>
      <c r="H17" s="244"/>
      <c r="I17" s="244">
        <v>0.5</v>
      </c>
      <c r="J17" s="244">
        <v>0.5</v>
      </c>
      <c r="K17" s="244"/>
      <c r="L17" s="245"/>
      <c r="M17" s="245"/>
      <c r="N17" s="245"/>
      <c r="O17" s="245"/>
      <c r="P17" s="245"/>
      <c r="Q17" s="245"/>
      <c r="R17" s="245"/>
      <c r="S17" s="245"/>
      <c r="T17" s="243"/>
      <c r="V17" s="246">
        <f>SUM(F17:T17)</f>
        <v>1</v>
      </c>
    </row>
    <row r="18" spans="1:22" s="30" customFormat="1" ht="18" customHeight="1">
      <c r="A18" s="25"/>
      <c r="B18" s="210"/>
      <c r="C18" s="227"/>
      <c r="D18" s="228"/>
      <c r="E18" s="229"/>
      <c r="F18" s="213"/>
      <c r="G18" s="212"/>
      <c r="H18" s="213"/>
      <c r="I18" s="212"/>
      <c r="J18" s="212"/>
      <c r="K18" s="212"/>
      <c r="L18" s="212"/>
      <c r="M18" s="212"/>
      <c r="N18" s="214"/>
      <c r="O18" s="214"/>
      <c r="P18" s="214"/>
      <c r="Q18" s="214"/>
      <c r="R18" s="214"/>
      <c r="S18" s="214"/>
      <c r="T18" s="215"/>
      <c r="V18" s="2"/>
    </row>
    <row r="19" spans="2:22" s="30" customFormat="1" ht="23.25" customHeight="1">
      <c r="B19" s="110"/>
      <c r="C19" s="216">
        <f>C16+1</f>
        <v>5</v>
      </c>
      <c r="D19" s="217" t="str">
        <f>VLOOKUP(C19,'PLANILHA '!$C$7:$I$209,2,FALSE)</f>
        <v>ALVENARIA </v>
      </c>
      <c r="E19" s="218">
        <f>VLOOKUP(C19,'PLANILHA '!$C$7:$I$209,7,FALSE)</f>
        <v>0</v>
      </c>
      <c r="F19" s="239">
        <f aca="true" t="shared" si="4" ref="F19:T19">$E19*F20</f>
        <v>0</v>
      </c>
      <c r="G19" s="240">
        <f t="shared" si="4"/>
        <v>0</v>
      </c>
      <c r="H19" s="240">
        <f t="shared" si="4"/>
        <v>0</v>
      </c>
      <c r="I19" s="240">
        <f t="shared" si="4"/>
        <v>0</v>
      </c>
      <c r="J19" s="240">
        <f t="shared" si="4"/>
        <v>0</v>
      </c>
      <c r="K19" s="240">
        <f t="shared" si="4"/>
        <v>0</v>
      </c>
      <c r="L19" s="240">
        <f t="shared" si="4"/>
        <v>0</v>
      </c>
      <c r="M19" s="240">
        <f t="shared" si="4"/>
        <v>0</v>
      </c>
      <c r="N19" s="240">
        <f t="shared" si="4"/>
        <v>0</v>
      </c>
      <c r="O19" s="240">
        <f t="shared" si="4"/>
        <v>0</v>
      </c>
      <c r="P19" s="240">
        <f t="shared" si="4"/>
        <v>0</v>
      </c>
      <c r="Q19" s="240">
        <f t="shared" si="4"/>
        <v>0</v>
      </c>
      <c r="R19" s="240">
        <f t="shared" si="4"/>
        <v>0</v>
      </c>
      <c r="S19" s="240">
        <f t="shared" si="4"/>
        <v>0</v>
      </c>
      <c r="T19" s="241">
        <f t="shared" si="4"/>
        <v>0</v>
      </c>
      <c r="V19" s="2"/>
    </row>
    <row r="20" spans="2:22" s="30" customFormat="1" ht="18" customHeight="1" thickBot="1">
      <c r="B20" s="111"/>
      <c r="C20" s="219"/>
      <c r="D20" s="220"/>
      <c r="E20" s="221"/>
      <c r="F20" s="242"/>
      <c r="G20" s="244"/>
      <c r="H20" s="244"/>
      <c r="I20" s="244">
        <v>0.5</v>
      </c>
      <c r="J20" s="244">
        <v>0.5</v>
      </c>
      <c r="K20" s="244"/>
      <c r="L20" s="245"/>
      <c r="M20" s="245"/>
      <c r="N20" s="245"/>
      <c r="O20" s="245"/>
      <c r="P20" s="245"/>
      <c r="Q20" s="245"/>
      <c r="R20" s="245"/>
      <c r="S20" s="245"/>
      <c r="T20" s="243"/>
      <c r="V20" s="246">
        <f>SUM(F20:T20)</f>
        <v>1</v>
      </c>
    </row>
    <row r="21" spans="1:22" s="30" customFormat="1" ht="18" customHeight="1">
      <c r="A21" s="25"/>
      <c r="B21" s="210"/>
      <c r="C21" s="227"/>
      <c r="D21" s="228"/>
      <c r="E21" s="229"/>
      <c r="F21" s="213"/>
      <c r="G21" s="212"/>
      <c r="H21" s="213"/>
      <c r="I21" s="212"/>
      <c r="J21" s="212"/>
      <c r="K21" s="212"/>
      <c r="L21" s="212"/>
      <c r="M21" s="212"/>
      <c r="N21" s="214"/>
      <c r="O21" s="214"/>
      <c r="P21" s="214"/>
      <c r="Q21" s="214"/>
      <c r="R21" s="214"/>
      <c r="S21" s="214"/>
      <c r="T21" s="215"/>
      <c r="V21" s="2"/>
    </row>
    <row r="22" spans="2:22" s="30" customFormat="1" ht="23.25" customHeight="1">
      <c r="B22" s="110"/>
      <c r="C22" s="216">
        <f>C19+1</f>
        <v>6</v>
      </c>
      <c r="D22" s="217" t="str">
        <f>VLOOKUP(C22,'PLANILHA '!$C$7:$I$209,2,FALSE)</f>
        <v>FORRO</v>
      </c>
      <c r="E22" s="218">
        <f>VLOOKUP(C22,'PLANILHA '!$C$7:$I$209,7,FALSE)</f>
        <v>0</v>
      </c>
      <c r="F22" s="239">
        <f aca="true" t="shared" si="5" ref="F22:T22">$E22*F23</f>
        <v>0</v>
      </c>
      <c r="G22" s="240">
        <f t="shared" si="5"/>
        <v>0</v>
      </c>
      <c r="H22" s="240">
        <f t="shared" si="5"/>
        <v>0</v>
      </c>
      <c r="I22" s="240">
        <f t="shared" si="5"/>
        <v>0</v>
      </c>
      <c r="J22" s="240">
        <f t="shared" si="5"/>
        <v>0</v>
      </c>
      <c r="K22" s="240">
        <f t="shared" si="5"/>
        <v>0</v>
      </c>
      <c r="L22" s="240">
        <f t="shared" si="5"/>
        <v>0</v>
      </c>
      <c r="M22" s="240">
        <f t="shared" si="5"/>
        <v>0</v>
      </c>
      <c r="N22" s="240">
        <f t="shared" si="5"/>
        <v>0</v>
      </c>
      <c r="O22" s="240">
        <f t="shared" si="5"/>
        <v>0</v>
      </c>
      <c r="P22" s="240">
        <f t="shared" si="5"/>
        <v>0</v>
      </c>
      <c r="Q22" s="240">
        <f t="shared" si="5"/>
        <v>0</v>
      </c>
      <c r="R22" s="240">
        <f t="shared" si="5"/>
        <v>0</v>
      </c>
      <c r="S22" s="240">
        <f t="shared" si="5"/>
        <v>0</v>
      </c>
      <c r="T22" s="241">
        <f t="shared" si="5"/>
        <v>0</v>
      </c>
      <c r="V22" s="2"/>
    </row>
    <row r="23" spans="2:22" s="30" customFormat="1" ht="18" customHeight="1" thickBot="1">
      <c r="B23" s="111"/>
      <c r="C23" s="219"/>
      <c r="D23" s="220"/>
      <c r="E23" s="221"/>
      <c r="F23" s="242"/>
      <c r="G23" s="244"/>
      <c r="H23" s="244"/>
      <c r="I23" s="244"/>
      <c r="J23" s="244"/>
      <c r="K23" s="244"/>
      <c r="L23" s="245"/>
      <c r="M23" s="245"/>
      <c r="N23" s="245"/>
      <c r="O23" s="245"/>
      <c r="P23" s="245"/>
      <c r="Q23" s="245">
        <v>0.1</v>
      </c>
      <c r="R23" s="245">
        <v>0.3</v>
      </c>
      <c r="S23" s="245">
        <v>0.6</v>
      </c>
      <c r="T23" s="243"/>
      <c r="V23" s="246">
        <f>SUM(F23:T23)</f>
        <v>1</v>
      </c>
    </row>
    <row r="24" spans="1:22" s="30" customFormat="1" ht="18" customHeight="1">
      <c r="A24" s="25"/>
      <c r="B24" s="210"/>
      <c r="C24" s="227"/>
      <c r="D24" s="228"/>
      <c r="E24" s="229"/>
      <c r="F24" s="213"/>
      <c r="G24" s="212"/>
      <c r="H24" s="213"/>
      <c r="I24" s="212"/>
      <c r="J24" s="212"/>
      <c r="K24" s="212"/>
      <c r="L24" s="212"/>
      <c r="M24" s="212"/>
      <c r="N24" s="214"/>
      <c r="O24" s="214"/>
      <c r="P24" s="214"/>
      <c r="Q24" s="214"/>
      <c r="R24" s="214"/>
      <c r="S24" s="214"/>
      <c r="T24" s="215"/>
      <c r="V24" s="2"/>
    </row>
    <row r="25" spans="2:22" s="30" customFormat="1" ht="23.25" customHeight="1">
      <c r="B25" s="110"/>
      <c r="C25" s="216">
        <f>C22+1</f>
        <v>7</v>
      </c>
      <c r="D25" s="217" t="str">
        <f>VLOOKUP(C25,'PLANILHA '!$C$7:$I$209,2,FALSE)</f>
        <v>ESQUADRIAS</v>
      </c>
      <c r="E25" s="218">
        <f>VLOOKUP(C25,'PLANILHA '!$C$7:$I$209,7,FALSE)</f>
        <v>0</v>
      </c>
      <c r="F25" s="239">
        <f aca="true" t="shared" si="6" ref="F25:T25">$E25*F26</f>
        <v>0</v>
      </c>
      <c r="G25" s="240">
        <f t="shared" si="6"/>
        <v>0</v>
      </c>
      <c r="H25" s="240">
        <f t="shared" si="6"/>
        <v>0</v>
      </c>
      <c r="I25" s="240">
        <f t="shared" si="6"/>
        <v>0</v>
      </c>
      <c r="J25" s="240">
        <f t="shared" si="6"/>
        <v>0</v>
      </c>
      <c r="K25" s="240">
        <f t="shared" si="6"/>
        <v>0</v>
      </c>
      <c r="L25" s="240">
        <f t="shared" si="6"/>
        <v>0</v>
      </c>
      <c r="M25" s="240">
        <f t="shared" si="6"/>
        <v>0</v>
      </c>
      <c r="N25" s="240">
        <f t="shared" si="6"/>
        <v>0</v>
      </c>
      <c r="O25" s="240">
        <f t="shared" si="6"/>
        <v>0</v>
      </c>
      <c r="P25" s="240">
        <f t="shared" si="6"/>
        <v>0</v>
      </c>
      <c r="Q25" s="240">
        <f t="shared" si="6"/>
        <v>0</v>
      </c>
      <c r="R25" s="240">
        <f t="shared" si="6"/>
        <v>0</v>
      </c>
      <c r="S25" s="240">
        <f t="shared" si="6"/>
        <v>0</v>
      </c>
      <c r="T25" s="241">
        <f t="shared" si="6"/>
        <v>0</v>
      </c>
      <c r="V25" s="2"/>
    </row>
    <row r="26" spans="2:22" s="30" customFormat="1" ht="18" customHeight="1" thickBot="1">
      <c r="B26" s="111"/>
      <c r="C26" s="219"/>
      <c r="D26" s="220"/>
      <c r="E26" s="221"/>
      <c r="F26" s="242"/>
      <c r="G26" s="244"/>
      <c r="H26" s="244"/>
      <c r="I26" s="244"/>
      <c r="J26" s="244">
        <v>0.1</v>
      </c>
      <c r="K26" s="244">
        <v>0.3</v>
      </c>
      <c r="L26" s="245">
        <v>0.5</v>
      </c>
      <c r="M26" s="245">
        <v>0.1</v>
      </c>
      <c r="N26" s="245"/>
      <c r="O26" s="245"/>
      <c r="P26" s="245"/>
      <c r="Q26" s="245"/>
      <c r="R26" s="245"/>
      <c r="S26" s="245"/>
      <c r="T26" s="243"/>
      <c r="V26" s="246">
        <f>SUM(F26:T26)</f>
        <v>1</v>
      </c>
    </row>
    <row r="27" spans="1:22" s="30" customFormat="1" ht="18" customHeight="1">
      <c r="A27" s="25"/>
      <c r="B27" s="210"/>
      <c r="C27" s="227"/>
      <c r="D27" s="228"/>
      <c r="E27" s="229"/>
      <c r="F27" s="213"/>
      <c r="G27" s="212"/>
      <c r="H27" s="213"/>
      <c r="I27" s="212"/>
      <c r="J27" s="212"/>
      <c r="K27" s="212"/>
      <c r="L27" s="212"/>
      <c r="M27" s="212"/>
      <c r="N27" s="214"/>
      <c r="O27" s="214"/>
      <c r="P27" s="214"/>
      <c r="Q27" s="214"/>
      <c r="R27" s="214"/>
      <c r="S27" s="214"/>
      <c r="T27" s="215"/>
      <c r="V27" s="2"/>
    </row>
    <row r="28" spans="2:22" s="30" customFormat="1" ht="23.25" customHeight="1">
      <c r="B28" s="110"/>
      <c r="C28" s="216">
        <f>C25+1</f>
        <v>8</v>
      </c>
      <c r="D28" s="217" t="str">
        <f>VLOOKUP(C28,'PLANILHA '!$C$7:$I$209,2,FALSE)</f>
        <v>REVESTIMENTO</v>
      </c>
      <c r="E28" s="218">
        <f>VLOOKUP(C28,'PLANILHA '!$C$7:$I$209,7,FALSE)</f>
        <v>0</v>
      </c>
      <c r="F28" s="239">
        <f aca="true" t="shared" si="7" ref="F28:T28">$E28*F29</f>
        <v>0</v>
      </c>
      <c r="G28" s="240">
        <f t="shared" si="7"/>
        <v>0</v>
      </c>
      <c r="H28" s="240">
        <f t="shared" si="7"/>
        <v>0</v>
      </c>
      <c r="I28" s="240">
        <f t="shared" si="7"/>
        <v>0</v>
      </c>
      <c r="J28" s="240">
        <f t="shared" si="7"/>
        <v>0</v>
      </c>
      <c r="K28" s="240">
        <f t="shared" si="7"/>
        <v>0</v>
      </c>
      <c r="L28" s="240">
        <f t="shared" si="7"/>
        <v>0</v>
      </c>
      <c r="M28" s="240">
        <f t="shared" si="7"/>
        <v>0</v>
      </c>
      <c r="N28" s="240">
        <f t="shared" si="7"/>
        <v>0</v>
      </c>
      <c r="O28" s="240">
        <f t="shared" si="7"/>
        <v>0</v>
      </c>
      <c r="P28" s="240">
        <f t="shared" si="7"/>
        <v>0</v>
      </c>
      <c r="Q28" s="240">
        <f t="shared" si="7"/>
        <v>0</v>
      </c>
      <c r="R28" s="240">
        <f t="shared" si="7"/>
        <v>0</v>
      </c>
      <c r="S28" s="240">
        <f t="shared" si="7"/>
        <v>0</v>
      </c>
      <c r="T28" s="241">
        <f t="shared" si="7"/>
        <v>0</v>
      </c>
      <c r="V28" s="2"/>
    </row>
    <row r="29" spans="2:22" s="30" customFormat="1" ht="18" customHeight="1" thickBot="1">
      <c r="B29" s="111"/>
      <c r="C29" s="219"/>
      <c r="D29" s="220"/>
      <c r="E29" s="221"/>
      <c r="F29" s="242"/>
      <c r="G29" s="244"/>
      <c r="H29" s="244"/>
      <c r="I29" s="244"/>
      <c r="J29" s="244">
        <v>0.2</v>
      </c>
      <c r="K29" s="244">
        <v>0.5</v>
      </c>
      <c r="L29" s="245">
        <v>0.2</v>
      </c>
      <c r="M29" s="245">
        <v>0.1</v>
      </c>
      <c r="N29" s="245"/>
      <c r="O29" s="245"/>
      <c r="P29" s="245"/>
      <c r="Q29" s="245"/>
      <c r="R29" s="245"/>
      <c r="S29" s="245"/>
      <c r="T29" s="243"/>
      <c r="V29" s="246">
        <f>SUM(F29:T29)</f>
        <v>0.9999999999999999</v>
      </c>
    </row>
    <row r="30" spans="1:22" s="30" customFormat="1" ht="18" customHeight="1">
      <c r="A30" s="25"/>
      <c r="B30" s="210"/>
      <c r="C30" s="227"/>
      <c r="D30" s="228"/>
      <c r="E30" s="229"/>
      <c r="F30" s="213"/>
      <c r="G30" s="212"/>
      <c r="H30" s="213"/>
      <c r="I30" s="212"/>
      <c r="J30" s="212"/>
      <c r="K30" s="212"/>
      <c r="L30" s="212"/>
      <c r="M30" s="212"/>
      <c r="N30" s="214"/>
      <c r="O30" s="214"/>
      <c r="P30" s="214"/>
      <c r="Q30" s="214"/>
      <c r="R30" s="214"/>
      <c r="S30" s="214"/>
      <c r="T30" s="215"/>
      <c r="V30" s="2"/>
    </row>
    <row r="31" spans="2:22" s="30" customFormat="1" ht="23.25" customHeight="1">
      <c r="B31" s="110"/>
      <c r="C31" s="216">
        <f>C28+1</f>
        <v>9</v>
      </c>
      <c r="D31" s="217" t="str">
        <f>VLOOKUP(C31,'PLANILHA '!$C$7:$I$209,2,FALSE)</f>
        <v>PISO</v>
      </c>
      <c r="E31" s="218">
        <f>VLOOKUP(C31,'PLANILHA '!$C$7:$I$209,7,FALSE)</f>
        <v>0</v>
      </c>
      <c r="F31" s="239">
        <f aca="true" t="shared" si="8" ref="F31:T31">$E31*F32</f>
        <v>0</v>
      </c>
      <c r="G31" s="240">
        <f t="shared" si="8"/>
        <v>0</v>
      </c>
      <c r="H31" s="240">
        <f t="shared" si="8"/>
        <v>0</v>
      </c>
      <c r="I31" s="240">
        <f t="shared" si="8"/>
        <v>0</v>
      </c>
      <c r="J31" s="240">
        <f t="shared" si="8"/>
        <v>0</v>
      </c>
      <c r="K31" s="240">
        <f t="shared" si="8"/>
        <v>0</v>
      </c>
      <c r="L31" s="240">
        <f t="shared" si="8"/>
        <v>0</v>
      </c>
      <c r="M31" s="240">
        <f t="shared" si="8"/>
        <v>0</v>
      </c>
      <c r="N31" s="240">
        <f t="shared" si="8"/>
        <v>0</v>
      </c>
      <c r="O31" s="240">
        <f t="shared" si="8"/>
        <v>0</v>
      </c>
      <c r="P31" s="240">
        <f t="shared" si="8"/>
        <v>0</v>
      </c>
      <c r="Q31" s="240">
        <f t="shared" si="8"/>
        <v>0</v>
      </c>
      <c r="R31" s="240">
        <f t="shared" si="8"/>
        <v>0</v>
      </c>
      <c r="S31" s="240">
        <f t="shared" si="8"/>
        <v>0</v>
      </c>
      <c r="T31" s="241">
        <f t="shared" si="8"/>
        <v>0</v>
      </c>
      <c r="V31" s="2"/>
    </row>
    <row r="32" spans="2:22" s="30" customFormat="1" ht="18" customHeight="1" thickBot="1">
      <c r="B32" s="111"/>
      <c r="C32" s="219"/>
      <c r="D32" s="220"/>
      <c r="E32" s="221"/>
      <c r="F32" s="242"/>
      <c r="G32" s="244"/>
      <c r="H32" s="244"/>
      <c r="I32" s="244"/>
      <c r="J32" s="244"/>
      <c r="K32" s="244">
        <v>0.2</v>
      </c>
      <c r="L32" s="245">
        <v>0.3</v>
      </c>
      <c r="M32" s="245">
        <v>0.5</v>
      </c>
      <c r="N32" s="245"/>
      <c r="O32" s="245"/>
      <c r="P32" s="245"/>
      <c r="Q32" s="245"/>
      <c r="R32" s="245"/>
      <c r="S32" s="245"/>
      <c r="T32" s="243"/>
      <c r="V32" s="246">
        <f>SUM(F32:T32)</f>
        <v>1</v>
      </c>
    </row>
    <row r="33" spans="1:22" s="30" customFormat="1" ht="18" customHeight="1">
      <c r="A33" s="25"/>
      <c r="B33" s="210"/>
      <c r="C33" s="227"/>
      <c r="D33" s="228"/>
      <c r="E33" s="229"/>
      <c r="F33" s="213"/>
      <c r="G33" s="212"/>
      <c r="H33" s="213"/>
      <c r="I33" s="212"/>
      <c r="J33" s="212"/>
      <c r="K33" s="212"/>
      <c r="L33" s="212"/>
      <c r="M33" s="212"/>
      <c r="N33" s="214"/>
      <c r="O33" s="214"/>
      <c r="P33" s="214"/>
      <c r="Q33" s="214"/>
      <c r="R33" s="214"/>
      <c r="S33" s="214"/>
      <c r="T33" s="215"/>
      <c r="V33" s="2"/>
    </row>
    <row r="34" spans="2:22" s="30" customFormat="1" ht="23.25" customHeight="1">
      <c r="B34" s="110"/>
      <c r="C34" s="216">
        <f>C31+1</f>
        <v>10</v>
      </c>
      <c r="D34" s="217" t="str">
        <f>VLOOKUP(C34,'PLANILHA '!$C$7:$I$209,2,FALSE)</f>
        <v>INSTALAÇÕES HIDRAULICA,  LOUÇAS E METAIS</v>
      </c>
      <c r="E34" s="218">
        <f>VLOOKUP(C34,'PLANILHA '!$C$7:$I$209,7,FALSE)</f>
        <v>0</v>
      </c>
      <c r="F34" s="239">
        <f aca="true" t="shared" si="9" ref="F34:T34">$E34*F35</f>
        <v>0</v>
      </c>
      <c r="G34" s="240">
        <f t="shared" si="9"/>
        <v>0</v>
      </c>
      <c r="H34" s="240">
        <f t="shared" si="9"/>
        <v>0</v>
      </c>
      <c r="I34" s="240">
        <f t="shared" si="9"/>
        <v>0</v>
      </c>
      <c r="J34" s="240">
        <f t="shared" si="9"/>
        <v>0</v>
      </c>
      <c r="K34" s="240">
        <f t="shared" si="9"/>
        <v>0</v>
      </c>
      <c r="L34" s="240">
        <f t="shared" si="9"/>
        <v>0</v>
      </c>
      <c r="M34" s="240">
        <f t="shared" si="9"/>
        <v>0</v>
      </c>
      <c r="N34" s="240">
        <f t="shared" si="9"/>
        <v>0</v>
      </c>
      <c r="O34" s="240">
        <f t="shared" si="9"/>
        <v>0</v>
      </c>
      <c r="P34" s="240">
        <f t="shared" si="9"/>
        <v>0</v>
      </c>
      <c r="Q34" s="240">
        <f t="shared" si="9"/>
        <v>0</v>
      </c>
      <c r="R34" s="240">
        <f t="shared" si="9"/>
        <v>0</v>
      </c>
      <c r="S34" s="240">
        <f t="shared" si="9"/>
        <v>0</v>
      </c>
      <c r="T34" s="241">
        <f t="shared" si="9"/>
        <v>0</v>
      </c>
      <c r="V34" s="2"/>
    </row>
    <row r="35" spans="2:22" s="30" customFormat="1" ht="18" customHeight="1" thickBot="1">
      <c r="B35" s="111"/>
      <c r="C35" s="219"/>
      <c r="D35" s="220"/>
      <c r="E35" s="221"/>
      <c r="F35" s="242"/>
      <c r="G35" s="244"/>
      <c r="H35" s="244"/>
      <c r="I35" s="244"/>
      <c r="J35" s="244"/>
      <c r="K35" s="244">
        <v>0.2</v>
      </c>
      <c r="L35" s="245">
        <v>0.2</v>
      </c>
      <c r="M35" s="245">
        <v>0.3</v>
      </c>
      <c r="N35" s="245">
        <v>0.2</v>
      </c>
      <c r="O35" s="245">
        <v>0.1</v>
      </c>
      <c r="P35" s="245"/>
      <c r="Q35" s="245"/>
      <c r="R35" s="245"/>
      <c r="S35" s="245"/>
      <c r="T35" s="243"/>
      <c r="V35" s="246">
        <f>SUM(F35:T35)</f>
        <v>0.9999999999999999</v>
      </c>
    </row>
    <row r="36" spans="1:22" s="30" customFormat="1" ht="18" customHeight="1">
      <c r="A36" s="25"/>
      <c r="B36" s="210"/>
      <c r="C36" s="227"/>
      <c r="D36" s="228"/>
      <c r="E36" s="229"/>
      <c r="F36" s="213"/>
      <c r="G36" s="212"/>
      <c r="H36" s="213"/>
      <c r="I36" s="212"/>
      <c r="J36" s="212"/>
      <c r="K36" s="212"/>
      <c r="L36" s="212"/>
      <c r="M36" s="212"/>
      <c r="N36" s="214"/>
      <c r="O36" s="214"/>
      <c r="P36" s="214"/>
      <c r="Q36" s="214"/>
      <c r="R36" s="214"/>
      <c r="S36" s="214"/>
      <c r="T36" s="215"/>
      <c r="V36" s="2"/>
    </row>
    <row r="37" spans="2:22" s="30" customFormat="1" ht="23.25" customHeight="1">
      <c r="B37" s="110"/>
      <c r="C37" s="216">
        <f>C34+1</f>
        <v>11</v>
      </c>
      <c r="D37" s="217" t="str">
        <f>VLOOKUP(C37,'PLANILHA '!$C$7:$I$209,2,FALSE)</f>
        <v>INSTALAÇÕES ELETRICAS</v>
      </c>
      <c r="E37" s="218">
        <f>VLOOKUP(C37,'PLANILHA '!$C$7:$I$209,7,FALSE)</f>
        <v>0</v>
      </c>
      <c r="F37" s="239">
        <f aca="true" t="shared" si="10" ref="F37:T37">$E37*F38</f>
        <v>0</v>
      </c>
      <c r="G37" s="240">
        <f t="shared" si="10"/>
        <v>0</v>
      </c>
      <c r="H37" s="240">
        <f t="shared" si="10"/>
        <v>0</v>
      </c>
      <c r="I37" s="240">
        <f t="shared" si="10"/>
        <v>0</v>
      </c>
      <c r="J37" s="240">
        <f t="shared" si="10"/>
        <v>0</v>
      </c>
      <c r="K37" s="240">
        <f t="shared" si="10"/>
        <v>0</v>
      </c>
      <c r="L37" s="240">
        <f t="shared" si="10"/>
        <v>0</v>
      </c>
      <c r="M37" s="240">
        <f t="shared" si="10"/>
        <v>0</v>
      </c>
      <c r="N37" s="240">
        <f t="shared" si="10"/>
        <v>0</v>
      </c>
      <c r="O37" s="240">
        <f t="shared" si="10"/>
        <v>0</v>
      </c>
      <c r="P37" s="240">
        <f t="shared" si="10"/>
        <v>0</v>
      </c>
      <c r="Q37" s="240">
        <f t="shared" si="10"/>
        <v>0</v>
      </c>
      <c r="R37" s="240">
        <f t="shared" si="10"/>
        <v>0</v>
      </c>
      <c r="S37" s="240">
        <f t="shared" si="10"/>
        <v>0</v>
      </c>
      <c r="T37" s="241">
        <f t="shared" si="10"/>
        <v>0</v>
      </c>
      <c r="V37" s="2"/>
    </row>
    <row r="38" spans="2:22" s="30" customFormat="1" ht="18" customHeight="1" thickBot="1">
      <c r="B38" s="111"/>
      <c r="C38" s="219"/>
      <c r="D38" s="220"/>
      <c r="E38" s="221"/>
      <c r="F38" s="242"/>
      <c r="G38" s="244"/>
      <c r="H38" s="244"/>
      <c r="I38" s="244"/>
      <c r="J38" s="244">
        <v>0.1</v>
      </c>
      <c r="K38" s="244">
        <v>0.15</v>
      </c>
      <c r="L38" s="245">
        <v>0.15</v>
      </c>
      <c r="M38" s="245">
        <v>0.3</v>
      </c>
      <c r="N38" s="245">
        <v>0.2</v>
      </c>
      <c r="O38" s="245">
        <v>0.1</v>
      </c>
      <c r="P38" s="245"/>
      <c r="Q38" s="245"/>
      <c r="R38" s="245"/>
      <c r="S38" s="245"/>
      <c r="T38" s="243"/>
      <c r="V38" s="246">
        <f>SUM(F38:T38)</f>
        <v>0.9999999999999999</v>
      </c>
    </row>
    <row r="39" spans="1:22" s="30" customFormat="1" ht="18" customHeight="1">
      <c r="A39" s="25"/>
      <c r="B39" s="210"/>
      <c r="C39" s="227"/>
      <c r="D39" s="228"/>
      <c r="E39" s="229"/>
      <c r="F39" s="213"/>
      <c r="G39" s="212"/>
      <c r="H39" s="213"/>
      <c r="I39" s="212"/>
      <c r="J39" s="212"/>
      <c r="K39" s="212"/>
      <c r="L39" s="212"/>
      <c r="M39" s="212"/>
      <c r="N39" s="214"/>
      <c r="O39" s="214"/>
      <c r="P39" s="214"/>
      <c r="Q39" s="214"/>
      <c r="R39" s="214"/>
      <c r="S39" s="214"/>
      <c r="T39" s="215"/>
      <c r="V39" s="2"/>
    </row>
    <row r="40" spans="2:22" s="30" customFormat="1" ht="23.25" customHeight="1">
      <c r="B40" s="110"/>
      <c r="C40" s="216">
        <f>C37+1</f>
        <v>12</v>
      </c>
      <c r="D40" s="217" t="str">
        <f>VLOOKUP(C40,'PLANILHA '!$C$7:$I$209,2,FALSE)</f>
        <v>PINTURA</v>
      </c>
      <c r="E40" s="218">
        <f>VLOOKUP(C40,'PLANILHA '!$C$7:$I$209,7,FALSE)</f>
        <v>0</v>
      </c>
      <c r="F40" s="239">
        <f aca="true" t="shared" si="11" ref="F40:T40">$E40*F41</f>
        <v>0</v>
      </c>
      <c r="G40" s="240">
        <f t="shared" si="11"/>
        <v>0</v>
      </c>
      <c r="H40" s="240">
        <f t="shared" si="11"/>
        <v>0</v>
      </c>
      <c r="I40" s="240">
        <f t="shared" si="11"/>
        <v>0</v>
      </c>
      <c r="J40" s="240">
        <f t="shared" si="11"/>
        <v>0</v>
      </c>
      <c r="K40" s="240">
        <f t="shared" si="11"/>
        <v>0</v>
      </c>
      <c r="L40" s="240">
        <f t="shared" si="11"/>
        <v>0</v>
      </c>
      <c r="M40" s="240">
        <f t="shared" si="11"/>
        <v>0</v>
      </c>
      <c r="N40" s="240">
        <f t="shared" si="11"/>
        <v>0</v>
      </c>
      <c r="O40" s="240">
        <f t="shared" si="11"/>
        <v>0</v>
      </c>
      <c r="P40" s="240">
        <f t="shared" si="11"/>
        <v>0</v>
      </c>
      <c r="Q40" s="240">
        <f t="shared" si="11"/>
        <v>0</v>
      </c>
      <c r="R40" s="240">
        <f t="shared" si="11"/>
        <v>0</v>
      </c>
      <c r="S40" s="240">
        <f t="shared" si="11"/>
        <v>0</v>
      </c>
      <c r="T40" s="241">
        <f t="shared" si="11"/>
        <v>0</v>
      </c>
      <c r="V40" s="2"/>
    </row>
    <row r="41" spans="2:22" s="30" customFormat="1" ht="18" customHeight="1" thickBot="1">
      <c r="B41" s="111"/>
      <c r="C41" s="230"/>
      <c r="D41" s="231"/>
      <c r="E41" s="232"/>
      <c r="F41" s="242"/>
      <c r="G41" s="244"/>
      <c r="H41" s="244"/>
      <c r="I41" s="244"/>
      <c r="J41" s="244"/>
      <c r="K41" s="244"/>
      <c r="L41" s="245"/>
      <c r="M41" s="245"/>
      <c r="N41" s="245"/>
      <c r="O41" s="245"/>
      <c r="P41" s="245">
        <v>0.2</v>
      </c>
      <c r="Q41" s="245">
        <v>0.3</v>
      </c>
      <c r="R41" s="245">
        <v>0.3</v>
      </c>
      <c r="S41" s="245">
        <v>0.1</v>
      </c>
      <c r="T41" s="243">
        <v>0.1</v>
      </c>
      <c r="V41" s="246">
        <f>SUM(F41:T41)</f>
        <v>1</v>
      </c>
    </row>
    <row r="42" spans="1:22" s="30" customFormat="1" ht="18" customHeight="1">
      <c r="A42" s="25"/>
      <c r="B42" s="210"/>
      <c r="C42" s="227"/>
      <c r="D42" s="228"/>
      <c r="E42" s="229"/>
      <c r="F42" s="213"/>
      <c r="G42" s="212"/>
      <c r="H42" s="213"/>
      <c r="I42" s="212"/>
      <c r="J42" s="212"/>
      <c r="K42" s="212"/>
      <c r="L42" s="212"/>
      <c r="M42" s="212"/>
      <c r="N42" s="214"/>
      <c r="O42" s="214"/>
      <c r="P42" s="214"/>
      <c r="Q42" s="214"/>
      <c r="R42" s="214"/>
      <c r="S42" s="214"/>
      <c r="T42" s="215"/>
      <c r="V42" s="2"/>
    </row>
    <row r="43" spans="2:22" s="30" customFormat="1" ht="23.25" customHeight="1">
      <c r="B43" s="110"/>
      <c r="C43" s="216">
        <f>C40+1</f>
        <v>13</v>
      </c>
      <c r="D43" s="217" t="str">
        <f>VLOOKUP(C43,'PLANILHA '!$C$7:$I$209,2,FALSE)</f>
        <v>SISTEMA DE COMBATE A INCÊNDIO</v>
      </c>
      <c r="E43" s="218">
        <f>VLOOKUP(C43,'PLANILHA '!$C$7:$I$209,7,FALSE)</f>
        <v>0</v>
      </c>
      <c r="F43" s="239">
        <f aca="true" t="shared" si="12" ref="F43:T43">$E43*F44</f>
        <v>0</v>
      </c>
      <c r="G43" s="240">
        <f t="shared" si="12"/>
        <v>0</v>
      </c>
      <c r="H43" s="240">
        <f t="shared" si="12"/>
        <v>0</v>
      </c>
      <c r="I43" s="240">
        <f t="shared" si="12"/>
        <v>0</v>
      </c>
      <c r="J43" s="240">
        <f t="shared" si="12"/>
        <v>0</v>
      </c>
      <c r="K43" s="240">
        <f t="shared" si="12"/>
        <v>0</v>
      </c>
      <c r="L43" s="240">
        <f t="shared" si="12"/>
        <v>0</v>
      </c>
      <c r="M43" s="240">
        <f t="shared" si="12"/>
        <v>0</v>
      </c>
      <c r="N43" s="240">
        <f t="shared" si="12"/>
        <v>0</v>
      </c>
      <c r="O43" s="240">
        <f t="shared" si="12"/>
        <v>0</v>
      </c>
      <c r="P43" s="240">
        <f t="shared" si="12"/>
        <v>0</v>
      </c>
      <c r="Q43" s="240">
        <f t="shared" si="12"/>
        <v>0</v>
      </c>
      <c r="R43" s="240">
        <f t="shared" si="12"/>
        <v>0</v>
      </c>
      <c r="S43" s="240">
        <f t="shared" si="12"/>
        <v>0</v>
      </c>
      <c r="T43" s="241">
        <f t="shared" si="12"/>
        <v>0</v>
      </c>
      <c r="V43" s="2"/>
    </row>
    <row r="44" spans="2:22" s="30" customFormat="1" ht="18" customHeight="1" thickBot="1">
      <c r="B44" s="111"/>
      <c r="C44" s="230"/>
      <c r="D44" s="231"/>
      <c r="E44" s="232"/>
      <c r="F44" s="242"/>
      <c r="G44" s="244"/>
      <c r="H44" s="244"/>
      <c r="I44" s="244"/>
      <c r="J44" s="244"/>
      <c r="K44" s="244"/>
      <c r="L44" s="245"/>
      <c r="M44" s="245"/>
      <c r="N44" s="245"/>
      <c r="O44" s="245">
        <v>0.1</v>
      </c>
      <c r="P44" s="245">
        <v>0.2</v>
      </c>
      <c r="Q44" s="245">
        <v>0.2</v>
      </c>
      <c r="R44" s="245">
        <v>0.2</v>
      </c>
      <c r="S44" s="245">
        <v>0.2</v>
      </c>
      <c r="T44" s="243">
        <v>0.1</v>
      </c>
      <c r="V44" s="246">
        <f>SUM(F44:T44)</f>
        <v>0.9999999999999999</v>
      </c>
    </row>
    <row r="45" spans="1:22" s="30" customFormat="1" ht="18" customHeight="1">
      <c r="A45" s="25"/>
      <c r="B45" s="210"/>
      <c r="C45" s="227"/>
      <c r="D45" s="228"/>
      <c r="E45" s="229"/>
      <c r="F45" s="213"/>
      <c r="G45" s="212"/>
      <c r="H45" s="213"/>
      <c r="I45" s="212"/>
      <c r="J45" s="212"/>
      <c r="K45" s="212"/>
      <c r="L45" s="212"/>
      <c r="M45" s="212"/>
      <c r="N45" s="214"/>
      <c r="O45" s="214"/>
      <c r="P45" s="214"/>
      <c r="Q45" s="214"/>
      <c r="R45" s="214"/>
      <c r="S45" s="214"/>
      <c r="T45" s="215"/>
      <c r="V45" s="2"/>
    </row>
    <row r="46" spans="2:22" s="30" customFormat="1" ht="23.25" customHeight="1">
      <c r="B46" s="110"/>
      <c r="C46" s="216">
        <f>C43+1</f>
        <v>14</v>
      </c>
      <c r="D46" s="217" t="str">
        <f>VLOOKUP(C46,'PLANILHA '!$C$7:$I$209,2,FALSE)</f>
        <v>Limpeza final de obra</v>
      </c>
      <c r="E46" s="218">
        <f>VLOOKUP(C46,'PLANILHA '!$C$7:$I$209,7,FALSE)</f>
        <v>0</v>
      </c>
      <c r="F46" s="239">
        <f aca="true" t="shared" si="13" ref="F46:T46">$E46*F47</f>
        <v>0</v>
      </c>
      <c r="G46" s="240">
        <f t="shared" si="13"/>
        <v>0</v>
      </c>
      <c r="H46" s="240">
        <f t="shared" si="13"/>
        <v>0</v>
      </c>
      <c r="I46" s="240">
        <f t="shared" si="13"/>
        <v>0</v>
      </c>
      <c r="J46" s="240">
        <f t="shared" si="13"/>
        <v>0</v>
      </c>
      <c r="K46" s="240">
        <f t="shared" si="13"/>
        <v>0</v>
      </c>
      <c r="L46" s="240">
        <f t="shared" si="13"/>
        <v>0</v>
      </c>
      <c r="M46" s="240">
        <f t="shared" si="13"/>
        <v>0</v>
      </c>
      <c r="N46" s="240">
        <f t="shared" si="13"/>
        <v>0</v>
      </c>
      <c r="O46" s="240">
        <f t="shared" si="13"/>
        <v>0</v>
      </c>
      <c r="P46" s="240">
        <f t="shared" si="13"/>
        <v>0</v>
      </c>
      <c r="Q46" s="240">
        <f t="shared" si="13"/>
        <v>0</v>
      </c>
      <c r="R46" s="240">
        <f t="shared" si="13"/>
        <v>0</v>
      </c>
      <c r="S46" s="240">
        <f t="shared" si="13"/>
        <v>0</v>
      </c>
      <c r="T46" s="241">
        <f t="shared" si="13"/>
        <v>0</v>
      </c>
      <c r="V46" s="2"/>
    </row>
    <row r="47" spans="2:22" s="30" customFormat="1" ht="18" customHeight="1" thickBot="1">
      <c r="B47" s="111"/>
      <c r="C47" s="230"/>
      <c r="D47" s="231"/>
      <c r="E47" s="232"/>
      <c r="F47" s="242"/>
      <c r="G47" s="244"/>
      <c r="H47" s="244"/>
      <c r="I47" s="244"/>
      <c r="J47" s="244"/>
      <c r="K47" s="244"/>
      <c r="L47" s="245"/>
      <c r="M47" s="245"/>
      <c r="N47" s="245"/>
      <c r="O47" s="245"/>
      <c r="P47" s="245"/>
      <c r="Q47" s="245"/>
      <c r="R47" s="245"/>
      <c r="S47" s="245"/>
      <c r="T47" s="243">
        <v>1</v>
      </c>
      <c r="V47" s="246">
        <f>SUM(F47:T47)</f>
        <v>1</v>
      </c>
    </row>
    <row r="48" spans="1:22" s="30" customFormat="1" ht="18" customHeight="1">
      <c r="A48" s="25"/>
      <c r="B48" s="210"/>
      <c r="C48" s="227"/>
      <c r="D48" s="228"/>
      <c r="E48" s="229"/>
      <c r="F48" s="213"/>
      <c r="G48" s="212"/>
      <c r="H48" s="213"/>
      <c r="I48" s="212"/>
      <c r="J48" s="212"/>
      <c r="K48" s="212"/>
      <c r="L48" s="212"/>
      <c r="M48" s="212"/>
      <c r="N48" s="214"/>
      <c r="O48" s="214"/>
      <c r="P48" s="214"/>
      <c r="Q48" s="214"/>
      <c r="R48" s="214"/>
      <c r="S48" s="214"/>
      <c r="T48" s="215"/>
      <c r="V48" s="2"/>
    </row>
    <row r="49" spans="2:22" s="30" customFormat="1" ht="23.25" customHeight="1">
      <c r="B49" s="110"/>
      <c r="C49" s="216">
        <f>C46+1</f>
        <v>15</v>
      </c>
      <c r="D49" s="217" t="str">
        <f>VLOOKUP(C49,'PLANILHA '!$C$7:$I$209,2,FALSE)</f>
        <v>Administração local, mobilização e desmobilização</v>
      </c>
      <c r="E49" s="218">
        <f>VLOOKUP(C49,'PLANILHA '!$C$7:$I$209,7,FALSE)</f>
        <v>0</v>
      </c>
      <c r="F49" s="239">
        <f aca="true" t="shared" si="14" ref="F49:T49">$E49*F50</f>
        <v>0</v>
      </c>
      <c r="G49" s="240">
        <f t="shared" si="14"/>
        <v>0</v>
      </c>
      <c r="H49" s="240">
        <f t="shared" si="14"/>
        <v>0</v>
      </c>
      <c r="I49" s="240">
        <f t="shared" si="14"/>
        <v>0</v>
      </c>
      <c r="J49" s="240">
        <f t="shared" si="14"/>
        <v>0</v>
      </c>
      <c r="K49" s="240">
        <f t="shared" si="14"/>
        <v>0</v>
      </c>
      <c r="L49" s="240">
        <f t="shared" si="14"/>
        <v>0</v>
      </c>
      <c r="M49" s="240">
        <f t="shared" si="14"/>
        <v>0</v>
      </c>
      <c r="N49" s="240">
        <f t="shared" si="14"/>
        <v>0</v>
      </c>
      <c r="O49" s="240">
        <f t="shared" si="14"/>
        <v>0</v>
      </c>
      <c r="P49" s="240">
        <f t="shared" si="14"/>
        <v>0</v>
      </c>
      <c r="Q49" s="240">
        <f t="shared" si="14"/>
        <v>0</v>
      </c>
      <c r="R49" s="240">
        <f t="shared" si="14"/>
        <v>0</v>
      </c>
      <c r="S49" s="240">
        <f t="shared" si="14"/>
        <v>0</v>
      </c>
      <c r="T49" s="241">
        <f t="shared" si="14"/>
        <v>0</v>
      </c>
      <c r="V49" s="2"/>
    </row>
    <row r="50" spans="2:22" s="30" customFormat="1" ht="18" customHeight="1" thickBot="1">
      <c r="B50" s="111"/>
      <c r="C50" s="230"/>
      <c r="D50" s="231"/>
      <c r="E50" s="232"/>
      <c r="F50" s="252">
        <v>0.0606</v>
      </c>
      <c r="G50" s="253">
        <v>0.0423</v>
      </c>
      <c r="H50" s="253">
        <v>0.0563</v>
      </c>
      <c r="I50" s="253">
        <v>0.0916</v>
      </c>
      <c r="J50" s="253">
        <v>0.0702</v>
      </c>
      <c r="K50" s="253">
        <v>0.1324</v>
      </c>
      <c r="L50" s="254">
        <v>0.1504</v>
      </c>
      <c r="M50" s="254">
        <v>0.131</v>
      </c>
      <c r="N50" s="254">
        <v>0.0224</v>
      </c>
      <c r="O50" s="254">
        <v>0.0169</v>
      </c>
      <c r="P50" s="254">
        <v>0.0313</v>
      </c>
      <c r="Q50" s="254">
        <v>0.0479</v>
      </c>
      <c r="R50" s="254">
        <v>0.0611</v>
      </c>
      <c r="S50" s="254">
        <v>0.061</v>
      </c>
      <c r="T50" s="255">
        <v>0.0246</v>
      </c>
      <c r="V50" s="256">
        <f>SUM(F50:T50)</f>
        <v>1</v>
      </c>
    </row>
    <row r="51" spans="1:22" s="30" customFormat="1" ht="18" customHeight="1">
      <c r="A51" s="25"/>
      <c r="B51" s="233"/>
      <c r="C51" s="193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234"/>
      <c r="V51" s="2"/>
    </row>
    <row r="52" spans="2:22" s="30" customFormat="1" ht="23.25" customHeight="1">
      <c r="B52" s="264"/>
      <c r="C52" s="257" t="s">
        <v>369</v>
      </c>
      <c r="D52" s="257"/>
      <c r="E52" s="258"/>
      <c r="F52" s="259">
        <f>SUM(F40,F10,F37,F34,F31,F28,F25,F22,F19,F16,F13,F7,F43,F46,F49)</f>
        <v>0</v>
      </c>
      <c r="G52" s="259">
        <f aca="true" t="shared" si="15" ref="G52:N52">SUM(G40,G10,G37,G34,G31,G28,G25,G22,G19,G16,G13,G7,G43,G46,G49)</f>
        <v>0</v>
      </c>
      <c r="H52" s="259">
        <f t="shared" si="15"/>
        <v>0</v>
      </c>
      <c r="I52" s="259">
        <f t="shared" si="15"/>
        <v>0</v>
      </c>
      <c r="J52" s="259">
        <f t="shared" si="15"/>
        <v>0</v>
      </c>
      <c r="K52" s="259">
        <f t="shared" si="15"/>
        <v>0</v>
      </c>
      <c r="L52" s="259">
        <f t="shared" si="15"/>
        <v>0</v>
      </c>
      <c r="M52" s="259">
        <f t="shared" si="15"/>
        <v>0</v>
      </c>
      <c r="N52" s="259">
        <f t="shared" si="15"/>
        <v>0</v>
      </c>
      <c r="O52" s="259">
        <f aca="true" t="shared" si="16" ref="O52:T52">SUM(O40,O10,O37,O34,O31,O28,O25,O22,O19,O16,O13,O7,O43,O46,O49)</f>
        <v>0</v>
      </c>
      <c r="P52" s="259">
        <f t="shared" si="16"/>
        <v>0</v>
      </c>
      <c r="Q52" s="259">
        <f t="shared" si="16"/>
        <v>0</v>
      </c>
      <c r="R52" s="259">
        <f t="shared" si="16"/>
        <v>0</v>
      </c>
      <c r="S52" s="259">
        <f t="shared" si="16"/>
        <v>0</v>
      </c>
      <c r="T52" s="265">
        <f t="shared" si="16"/>
        <v>0</v>
      </c>
      <c r="V52" s="2"/>
    </row>
    <row r="53" spans="2:22" s="30" customFormat="1" ht="23.25" customHeight="1">
      <c r="B53" s="266"/>
      <c r="C53" s="260"/>
      <c r="D53" s="260"/>
      <c r="E53" s="261"/>
      <c r="F53" s="262" t="e">
        <f aca="true" t="shared" si="17" ref="F53:K53">F52/$E$54</f>
        <v>#DIV/0!</v>
      </c>
      <c r="G53" s="262" t="e">
        <f t="shared" si="17"/>
        <v>#DIV/0!</v>
      </c>
      <c r="H53" s="262" t="e">
        <f t="shared" si="17"/>
        <v>#DIV/0!</v>
      </c>
      <c r="I53" s="262" t="e">
        <f t="shared" si="17"/>
        <v>#DIV/0!</v>
      </c>
      <c r="J53" s="262" t="e">
        <f t="shared" si="17"/>
        <v>#DIV/0!</v>
      </c>
      <c r="K53" s="262" t="e">
        <f t="shared" si="17"/>
        <v>#DIV/0!</v>
      </c>
      <c r="L53" s="262" t="e">
        <f>L52/$E$54</f>
        <v>#DIV/0!</v>
      </c>
      <c r="M53" s="262" t="e">
        <f>M52/$E$54</f>
        <v>#DIV/0!</v>
      </c>
      <c r="N53" s="262" t="e">
        <f>N52/$E$54</f>
        <v>#DIV/0!</v>
      </c>
      <c r="O53" s="262" t="e">
        <f aca="true" t="shared" si="18" ref="O53:T53">O52/$E$54</f>
        <v>#DIV/0!</v>
      </c>
      <c r="P53" s="262" t="e">
        <f t="shared" si="18"/>
        <v>#DIV/0!</v>
      </c>
      <c r="Q53" s="262" t="e">
        <f t="shared" si="18"/>
        <v>#DIV/0!</v>
      </c>
      <c r="R53" s="262" t="e">
        <f t="shared" si="18"/>
        <v>#DIV/0!</v>
      </c>
      <c r="S53" s="262" t="e">
        <f t="shared" si="18"/>
        <v>#DIV/0!</v>
      </c>
      <c r="T53" s="267" t="e">
        <f t="shared" si="18"/>
        <v>#DIV/0!</v>
      </c>
      <c r="V53" s="2"/>
    </row>
    <row r="54" spans="2:22" s="30" customFormat="1" ht="23.25" customHeight="1">
      <c r="B54" s="264"/>
      <c r="C54" s="257" t="s">
        <v>370</v>
      </c>
      <c r="D54" s="257"/>
      <c r="E54" s="258">
        <f>SUM(E40,E10,E37,E34,E31,E28,E25,E22,E19,E16,E13,E7,E43,E46,E49)</f>
        <v>0</v>
      </c>
      <c r="F54" s="259">
        <f>F52</f>
        <v>0</v>
      </c>
      <c r="G54" s="259">
        <f aca="true" t="shared" si="19" ref="G54:N54">G52+F54</f>
        <v>0</v>
      </c>
      <c r="H54" s="259">
        <f t="shared" si="19"/>
        <v>0</v>
      </c>
      <c r="I54" s="259">
        <f t="shared" si="19"/>
        <v>0</v>
      </c>
      <c r="J54" s="259">
        <f t="shared" si="19"/>
        <v>0</v>
      </c>
      <c r="K54" s="259">
        <f t="shared" si="19"/>
        <v>0</v>
      </c>
      <c r="L54" s="259">
        <f t="shared" si="19"/>
        <v>0</v>
      </c>
      <c r="M54" s="259">
        <f t="shared" si="19"/>
        <v>0</v>
      </c>
      <c r="N54" s="259">
        <f t="shared" si="19"/>
        <v>0</v>
      </c>
      <c r="O54" s="259">
        <f aca="true" t="shared" si="20" ref="O54:T54">O52+N54</f>
        <v>0</v>
      </c>
      <c r="P54" s="259">
        <f t="shared" si="20"/>
        <v>0</v>
      </c>
      <c r="Q54" s="259">
        <f t="shared" si="20"/>
        <v>0</v>
      </c>
      <c r="R54" s="259">
        <f t="shared" si="20"/>
        <v>0</v>
      </c>
      <c r="S54" s="259">
        <f t="shared" si="20"/>
        <v>0</v>
      </c>
      <c r="T54" s="265">
        <f t="shared" si="20"/>
        <v>0</v>
      </c>
      <c r="V54" s="2"/>
    </row>
    <row r="55" spans="2:22" s="30" customFormat="1" ht="23.25" customHeight="1">
      <c r="B55" s="266"/>
      <c r="C55" s="263"/>
      <c r="D55" s="263"/>
      <c r="E55" s="261"/>
      <c r="F55" s="262" t="e">
        <f>F54/$E$54</f>
        <v>#DIV/0!</v>
      </c>
      <c r="G55" s="262" t="e">
        <f>G54/$E$54</f>
        <v>#DIV/0!</v>
      </c>
      <c r="H55" s="262" t="e">
        <f aca="true" t="shared" si="21" ref="H55:N55">H54/$E$54</f>
        <v>#DIV/0!</v>
      </c>
      <c r="I55" s="262" t="e">
        <f t="shared" si="21"/>
        <v>#DIV/0!</v>
      </c>
      <c r="J55" s="262" t="e">
        <f t="shared" si="21"/>
        <v>#DIV/0!</v>
      </c>
      <c r="K55" s="262" t="e">
        <f t="shared" si="21"/>
        <v>#DIV/0!</v>
      </c>
      <c r="L55" s="262" t="e">
        <f t="shared" si="21"/>
        <v>#DIV/0!</v>
      </c>
      <c r="M55" s="262" t="e">
        <f t="shared" si="21"/>
        <v>#DIV/0!</v>
      </c>
      <c r="N55" s="262" t="e">
        <f t="shared" si="21"/>
        <v>#DIV/0!</v>
      </c>
      <c r="O55" s="262" t="e">
        <f aca="true" t="shared" si="22" ref="O55:T55">O54/$E$54</f>
        <v>#DIV/0!</v>
      </c>
      <c r="P55" s="262" t="e">
        <f t="shared" si="22"/>
        <v>#DIV/0!</v>
      </c>
      <c r="Q55" s="262" t="e">
        <f t="shared" si="22"/>
        <v>#DIV/0!</v>
      </c>
      <c r="R55" s="262" t="e">
        <f t="shared" si="22"/>
        <v>#DIV/0!</v>
      </c>
      <c r="S55" s="262" t="e">
        <f t="shared" si="22"/>
        <v>#DIV/0!</v>
      </c>
      <c r="T55" s="267" t="e">
        <f t="shared" si="22"/>
        <v>#DIV/0!</v>
      </c>
      <c r="V55" s="2"/>
    </row>
    <row r="56" spans="2:22" s="30" customFormat="1" ht="18" customHeight="1" thickBot="1">
      <c r="B56" s="112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5"/>
      <c r="V56" s="2"/>
    </row>
    <row r="57" spans="2:19" ht="12.75">
      <c r="B57" s="33"/>
      <c r="C57" s="33"/>
      <c r="J57" s="34"/>
      <c r="K57" s="25"/>
      <c r="L57" s="25"/>
      <c r="M57" s="25"/>
      <c r="N57" s="25"/>
      <c r="O57" s="25"/>
      <c r="P57" s="25"/>
      <c r="Q57" s="25"/>
      <c r="R57" s="25"/>
      <c r="S57" s="25"/>
    </row>
    <row r="58" spans="2:19" ht="12.75">
      <c r="B58" s="33"/>
      <c r="C58" s="33"/>
      <c r="J58" s="34"/>
      <c r="K58" s="25"/>
      <c r="L58" s="25"/>
      <c r="M58" s="25"/>
      <c r="N58" s="25"/>
      <c r="O58" s="25"/>
      <c r="P58" s="25"/>
      <c r="Q58" s="25"/>
      <c r="R58" s="25"/>
      <c r="S58" s="25"/>
    </row>
    <row r="59" spans="2:19" ht="16.5" customHeight="1">
      <c r="B59" s="33"/>
      <c r="C59" s="33"/>
      <c r="J59" s="34"/>
      <c r="K59" s="25"/>
      <c r="L59" s="25"/>
      <c r="M59" s="25"/>
      <c r="N59" s="25"/>
      <c r="O59" s="25"/>
      <c r="P59" s="25"/>
      <c r="Q59" s="25"/>
      <c r="R59" s="25"/>
      <c r="S59" s="25"/>
    </row>
    <row r="60" spans="6:20" ht="12.75"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</row>
  </sheetData>
  <sheetProtection/>
  <conditionalFormatting sqref="F7">
    <cfRule type="cellIs" priority="58" dxfId="0" operator="greaterThan" stopIfTrue="1">
      <formula>0</formula>
    </cfRule>
  </conditionalFormatting>
  <conditionalFormatting sqref="G49">
    <cfRule type="cellIs" priority="2" dxfId="0" operator="greaterThan" stopIfTrue="1">
      <formula>0</formula>
    </cfRule>
  </conditionalFormatting>
  <conditionalFormatting sqref="G7">
    <cfRule type="cellIs" priority="56" dxfId="0" operator="greaterThan" stopIfTrue="1">
      <formula>0</formula>
    </cfRule>
  </conditionalFormatting>
  <conditionalFormatting sqref="H7:T7">
    <cfRule type="cellIs" priority="55" dxfId="0" operator="greaterThan" stopIfTrue="1">
      <formula>0</formula>
    </cfRule>
  </conditionalFormatting>
  <conditionalFormatting sqref="F49">
    <cfRule type="cellIs" priority="3" dxfId="0" operator="greaterThan" stopIfTrue="1">
      <formula>0</formula>
    </cfRule>
  </conditionalFormatting>
  <conditionalFormatting sqref="H49:T49">
    <cfRule type="cellIs" priority="1" dxfId="0" operator="greaterThan" stopIfTrue="1">
      <formula>0</formula>
    </cfRule>
  </conditionalFormatting>
  <conditionalFormatting sqref="F43">
    <cfRule type="cellIs" priority="9" dxfId="0" operator="greaterThan" stopIfTrue="1">
      <formula>0</formula>
    </cfRule>
  </conditionalFormatting>
  <conditionalFormatting sqref="G43">
    <cfRule type="cellIs" priority="8" dxfId="0" operator="greaterThan" stopIfTrue="1">
      <formula>0</formula>
    </cfRule>
  </conditionalFormatting>
  <conditionalFormatting sqref="H43:T43">
    <cfRule type="cellIs" priority="7" dxfId="0" operator="greaterThan" stopIfTrue="1">
      <formula>0</formula>
    </cfRule>
  </conditionalFormatting>
  <conditionalFormatting sqref="F10">
    <cfRule type="cellIs" priority="42" dxfId="0" operator="greaterThan" stopIfTrue="1">
      <formula>0</formula>
    </cfRule>
  </conditionalFormatting>
  <conditionalFormatting sqref="G10">
    <cfRule type="cellIs" priority="41" dxfId="0" operator="greaterThan" stopIfTrue="1">
      <formula>0</formula>
    </cfRule>
  </conditionalFormatting>
  <conditionalFormatting sqref="H10:T10">
    <cfRule type="cellIs" priority="40" dxfId="0" operator="greaterThan" stopIfTrue="1">
      <formula>0</formula>
    </cfRule>
  </conditionalFormatting>
  <conditionalFormatting sqref="F13">
    <cfRule type="cellIs" priority="39" dxfId="0" operator="greaterThan" stopIfTrue="1">
      <formula>0</formula>
    </cfRule>
  </conditionalFormatting>
  <conditionalFormatting sqref="G13">
    <cfRule type="cellIs" priority="38" dxfId="0" operator="greaterThan" stopIfTrue="1">
      <formula>0</formula>
    </cfRule>
  </conditionalFormatting>
  <conditionalFormatting sqref="H13:T13">
    <cfRule type="cellIs" priority="37" dxfId="0" operator="greaterThan" stopIfTrue="1">
      <formula>0</formula>
    </cfRule>
  </conditionalFormatting>
  <conditionalFormatting sqref="F16">
    <cfRule type="cellIs" priority="36" dxfId="0" operator="greaterThan" stopIfTrue="1">
      <formula>0</formula>
    </cfRule>
  </conditionalFormatting>
  <conditionalFormatting sqref="G16">
    <cfRule type="cellIs" priority="35" dxfId="0" operator="greaterThan" stopIfTrue="1">
      <formula>0</formula>
    </cfRule>
  </conditionalFormatting>
  <conditionalFormatting sqref="H16:T16">
    <cfRule type="cellIs" priority="34" dxfId="0" operator="greaterThan" stopIfTrue="1">
      <formula>0</formula>
    </cfRule>
  </conditionalFormatting>
  <conditionalFormatting sqref="F19">
    <cfRule type="cellIs" priority="33" dxfId="0" operator="greaterThan" stopIfTrue="1">
      <formula>0</formula>
    </cfRule>
  </conditionalFormatting>
  <conditionalFormatting sqref="G19">
    <cfRule type="cellIs" priority="32" dxfId="0" operator="greaterThan" stopIfTrue="1">
      <formula>0</formula>
    </cfRule>
  </conditionalFormatting>
  <conditionalFormatting sqref="H19:T19">
    <cfRule type="cellIs" priority="31" dxfId="0" operator="greaterThan" stopIfTrue="1">
      <formula>0</formula>
    </cfRule>
  </conditionalFormatting>
  <conditionalFormatting sqref="F22">
    <cfRule type="cellIs" priority="30" dxfId="0" operator="greaterThan" stopIfTrue="1">
      <formula>0</formula>
    </cfRule>
  </conditionalFormatting>
  <conditionalFormatting sqref="G22">
    <cfRule type="cellIs" priority="29" dxfId="0" operator="greaterThan" stopIfTrue="1">
      <formula>0</formula>
    </cfRule>
  </conditionalFormatting>
  <conditionalFormatting sqref="H22:T22">
    <cfRule type="cellIs" priority="28" dxfId="0" operator="greaterThan" stopIfTrue="1">
      <formula>0</formula>
    </cfRule>
  </conditionalFormatting>
  <conditionalFormatting sqref="F25">
    <cfRule type="cellIs" priority="27" dxfId="0" operator="greaterThan" stopIfTrue="1">
      <formula>0</formula>
    </cfRule>
  </conditionalFormatting>
  <conditionalFormatting sqref="G25">
    <cfRule type="cellIs" priority="26" dxfId="0" operator="greaterThan" stopIfTrue="1">
      <formula>0</formula>
    </cfRule>
  </conditionalFormatting>
  <conditionalFormatting sqref="H25:T25">
    <cfRule type="cellIs" priority="25" dxfId="0" operator="greaterThan" stopIfTrue="1">
      <formula>0</formula>
    </cfRule>
  </conditionalFormatting>
  <conditionalFormatting sqref="F28">
    <cfRule type="cellIs" priority="24" dxfId="0" operator="greaterThan" stopIfTrue="1">
      <formula>0</formula>
    </cfRule>
  </conditionalFormatting>
  <conditionalFormatting sqref="G28">
    <cfRule type="cellIs" priority="23" dxfId="0" operator="greaterThan" stopIfTrue="1">
      <formula>0</formula>
    </cfRule>
  </conditionalFormatting>
  <conditionalFormatting sqref="H28:T28">
    <cfRule type="cellIs" priority="22" dxfId="0" operator="greaterThan" stopIfTrue="1">
      <formula>0</formula>
    </cfRule>
  </conditionalFormatting>
  <conditionalFormatting sqref="F31">
    <cfRule type="cellIs" priority="21" dxfId="0" operator="greaterThan" stopIfTrue="1">
      <formula>0</formula>
    </cfRule>
  </conditionalFormatting>
  <conditionalFormatting sqref="G31">
    <cfRule type="cellIs" priority="20" dxfId="0" operator="greaterThan" stopIfTrue="1">
      <formula>0</formula>
    </cfRule>
  </conditionalFormatting>
  <conditionalFormatting sqref="H31:T31">
    <cfRule type="cellIs" priority="19" dxfId="0" operator="greaterThan" stopIfTrue="1">
      <formula>0</formula>
    </cfRule>
  </conditionalFormatting>
  <conditionalFormatting sqref="F34">
    <cfRule type="cellIs" priority="18" dxfId="0" operator="greaterThan" stopIfTrue="1">
      <formula>0</formula>
    </cfRule>
  </conditionalFormatting>
  <conditionalFormatting sqref="G34">
    <cfRule type="cellIs" priority="17" dxfId="0" operator="greaterThan" stopIfTrue="1">
      <formula>0</formula>
    </cfRule>
  </conditionalFormatting>
  <conditionalFormatting sqref="H34:T34">
    <cfRule type="cellIs" priority="16" dxfId="0" operator="greaterThan" stopIfTrue="1">
      <formula>0</formula>
    </cfRule>
  </conditionalFormatting>
  <conditionalFormatting sqref="F37">
    <cfRule type="cellIs" priority="15" dxfId="0" operator="greaterThan" stopIfTrue="1">
      <formula>0</formula>
    </cfRule>
  </conditionalFormatting>
  <conditionalFormatting sqref="G37">
    <cfRule type="cellIs" priority="14" dxfId="0" operator="greaterThan" stopIfTrue="1">
      <formula>0</formula>
    </cfRule>
  </conditionalFormatting>
  <conditionalFormatting sqref="H37:T37">
    <cfRule type="cellIs" priority="13" dxfId="0" operator="greaterThan" stopIfTrue="1">
      <formula>0</formula>
    </cfRule>
  </conditionalFormatting>
  <conditionalFormatting sqref="F40">
    <cfRule type="cellIs" priority="12" dxfId="0" operator="greaterThan" stopIfTrue="1">
      <formula>0</formula>
    </cfRule>
  </conditionalFormatting>
  <conditionalFormatting sqref="G40">
    <cfRule type="cellIs" priority="11" dxfId="0" operator="greaterThan" stopIfTrue="1">
      <formula>0</formula>
    </cfRule>
  </conditionalFormatting>
  <conditionalFormatting sqref="H40:T40">
    <cfRule type="cellIs" priority="10" dxfId="0" operator="greaterThan" stopIfTrue="1">
      <formula>0</formula>
    </cfRule>
  </conditionalFormatting>
  <conditionalFormatting sqref="F46">
    <cfRule type="cellIs" priority="6" dxfId="0" operator="greaterThan" stopIfTrue="1">
      <formula>0</formula>
    </cfRule>
  </conditionalFormatting>
  <conditionalFormatting sqref="G46">
    <cfRule type="cellIs" priority="5" dxfId="0" operator="greaterThan" stopIfTrue="1">
      <formula>0</formula>
    </cfRule>
  </conditionalFormatting>
  <conditionalFormatting sqref="H46:T46">
    <cfRule type="cellIs" priority="4" dxfId="0" operator="greaterThan" stopIfTrue="1">
      <formula>0</formula>
    </cfRule>
  </conditionalFormatting>
  <printOptions/>
  <pageMargins left="0.5118110236220472" right="0.5118110236220472" top="0.9709821428571429" bottom="0.46875" header="0.31496062992125984" footer="0.31496062992125984"/>
  <pageSetup horizontalDpi="600" verticalDpi="600" orientation="landscape" paperSize="9" scale="45" r:id="rId2"/>
  <headerFooter>
    <oddHeader>&amp;C&amp;G</oddHeader>
    <oddFooter>&amp;LCoordenadoria Geral de Administração   CGA|GTE
Av. Dr. Enéas de Carvalho Aguiar, 188 | CEP 05403-000 |São Paulo - SP | Telefone: (11) 3066-8664&amp;RPágina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2"/>
  <sheetViews>
    <sheetView showGridLines="0" tabSelected="1" zoomScale="70" zoomScaleNormal="70" zoomScaleSheetLayoutView="100" workbookViewId="0" topLeftCell="B1">
      <selection activeCell="M15" sqref="M15"/>
    </sheetView>
  </sheetViews>
  <sheetFormatPr defaultColWidth="9.140625" defaultRowHeight="12.75"/>
  <cols>
    <col min="1" max="1" width="3.421875" style="18" customWidth="1"/>
    <col min="2" max="2" width="7.140625" style="18" customWidth="1"/>
    <col min="3" max="3" width="10.421875" style="141" customWidth="1"/>
    <col min="4" max="4" width="96.8515625" style="142" customWidth="1"/>
    <col min="5" max="5" width="6.7109375" style="143" customWidth="1"/>
    <col min="6" max="6" width="9.8515625" style="144" customWidth="1"/>
    <col min="7" max="7" width="14.00390625" style="145" customWidth="1"/>
    <col min="8" max="8" width="16.57421875" style="145" customWidth="1"/>
    <col min="9" max="9" width="19.421875" style="146" customWidth="1"/>
    <col min="10" max="10" width="3.57421875" style="18" customWidth="1"/>
    <col min="11" max="11" width="17.8515625" style="18" customWidth="1"/>
    <col min="12" max="12" width="4.00390625" style="18" customWidth="1"/>
    <col min="13" max="16384" width="9.140625" style="18" customWidth="1"/>
  </cols>
  <sheetData>
    <row r="1" spans="2:9" s="117" customFormat="1" ht="23.25" thickBot="1">
      <c r="B1" s="340" t="s">
        <v>427</v>
      </c>
      <c r="C1" s="341"/>
      <c r="D1" s="341"/>
      <c r="E1" s="341"/>
      <c r="F1" s="341"/>
      <c r="G1" s="341"/>
      <c r="H1" s="341"/>
      <c r="I1" s="342"/>
    </row>
    <row r="2" spans="2:9" s="117" customFormat="1" ht="15">
      <c r="B2" s="118" t="s">
        <v>415</v>
      </c>
      <c r="C2" s="286" t="s">
        <v>422</v>
      </c>
      <c r="D2" s="119"/>
      <c r="E2" s="120"/>
      <c r="F2" s="121"/>
      <c r="G2" s="122"/>
      <c r="H2" s="285"/>
      <c r="I2" s="3"/>
    </row>
    <row r="3" spans="2:9" s="117" customFormat="1" ht="19.5" customHeight="1">
      <c r="B3" s="123" t="s">
        <v>416</v>
      </c>
      <c r="C3" s="286" t="s">
        <v>399</v>
      </c>
      <c r="D3" s="35"/>
      <c r="E3" s="35"/>
      <c r="F3" s="35"/>
      <c r="G3" s="35"/>
      <c r="H3" s="286"/>
      <c r="I3" s="4"/>
    </row>
    <row r="4" spans="2:9" s="117" customFormat="1" ht="13.5" customHeight="1">
      <c r="B4" s="123"/>
      <c r="C4" s="286"/>
      <c r="D4" s="35"/>
      <c r="E4" s="35"/>
      <c r="F4" s="35"/>
      <c r="G4" s="35"/>
      <c r="H4" s="286" t="s">
        <v>274</v>
      </c>
      <c r="I4" s="287"/>
    </row>
    <row r="5" spans="2:9" s="117" customFormat="1" ht="13.5" customHeight="1" thickBot="1">
      <c r="B5" s="123"/>
      <c r="C5" s="286"/>
      <c r="D5" s="35"/>
      <c r="E5" s="124"/>
      <c r="F5" s="125"/>
      <c r="G5" s="126"/>
      <c r="H5" s="117" t="s">
        <v>423</v>
      </c>
      <c r="I5" s="287"/>
    </row>
    <row r="6" spans="2:9" ht="12.75">
      <c r="B6" s="210" t="s">
        <v>65</v>
      </c>
      <c r="C6" s="211" t="s">
        <v>66</v>
      </c>
      <c r="D6" s="212" t="s">
        <v>67</v>
      </c>
      <c r="E6" s="301" t="s">
        <v>68</v>
      </c>
      <c r="F6" s="302" t="s">
        <v>69</v>
      </c>
      <c r="G6" s="303" t="s">
        <v>426</v>
      </c>
      <c r="H6" s="304" t="s">
        <v>425</v>
      </c>
      <c r="I6" s="305" t="s">
        <v>61</v>
      </c>
    </row>
    <row r="7" spans="2:9" ht="20.25">
      <c r="B7" s="306"/>
      <c r="C7" s="294">
        <v>1</v>
      </c>
      <c r="D7" s="295" t="s">
        <v>286</v>
      </c>
      <c r="E7" s="296"/>
      <c r="F7" s="297"/>
      <c r="G7" s="298"/>
      <c r="H7" s="299"/>
      <c r="I7" s="307">
        <f>SUBTOTAL(9,I8:I13)</f>
        <v>0</v>
      </c>
    </row>
    <row r="8" spans="2:9" ht="15.75">
      <c r="B8" s="110"/>
      <c r="C8" s="127">
        <v>1.1</v>
      </c>
      <c r="D8" s="128" t="s">
        <v>287</v>
      </c>
      <c r="E8" s="36"/>
      <c r="F8" s="7"/>
      <c r="G8" s="292"/>
      <c r="H8" s="21"/>
      <c r="I8" s="9"/>
    </row>
    <row r="9" spans="2:9" ht="15">
      <c r="B9" s="110" t="s">
        <v>266</v>
      </c>
      <c r="C9" s="129" t="s">
        <v>103</v>
      </c>
      <c r="D9" s="130" t="s">
        <v>71</v>
      </c>
      <c r="E9" s="131" t="s">
        <v>276</v>
      </c>
      <c r="F9" s="14">
        <v>4.5</v>
      </c>
      <c r="G9" s="132"/>
      <c r="H9" s="132"/>
      <c r="I9" s="133">
        <f>ROUND(F9*H9,2)</f>
        <v>0</v>
      </c>
    </row>
    <row r="10" spans="2:9" ht="15">
      <c r="B10" s="110" t="s">
        <v>266</v>
      </c>
      <c r="C10" s="129" t="s">
        <v>104</v>
      </c>
      <c r="D10" s="130" t="s">
        <v>72</v>
      </c>
      <c r="E10" s="131" t="s">
        <v>276</v>
      </c>
      <c r="F10" s="14">
        <v>2157</v>
      </c>
      <c r="G10" s="132"/>
      <c r="H10" s="132"/>
      <c r="I10" s="133">
        <f>ROUND(F10*H10,2)</f>
        <v>0</v>
      </c>
    </row>
    <row r="11" spans="2:9" ht="30">
      <c r="B11" s="110" t="s">
        <v>266</v>
      </c>
      <c r="C11" s="129" t="s">
        <v>98</v>
      </c>
      <c r="D11" s="130" t="s">
        <v>99</v>
      </c>
      <c r="E11" s="131" t="s">
        <v>280</v>
      </c>
      <c r="F11" s="14">
        <v>15</v>
      </c>
      <c r="G11" s="132"/>
      <c r="H11" s="132"/>
      <c r="I11" s="133">
        <f>ROUND(F11*H11,2)</f>
        <v>0</v>
      </c>
    </row>
    <row r="12" spans="2:9" ht="30">
      <c r="B12" s="110" t="s">
        <v>266</v>
      </c>
      <c r="C12" s="129" t="s">
        <v>248</v>
      </c>
      <c r="D12" s="130" t="s">
        <v>101</v>
      </c>
      <c r="E12" s="131" t="s">
        <v>282</v>
      </c>
      <c r="F12" s="14">
        <v>180</v>
      </c>
      <c r="G12" s="132"/>
      <c r="H12" s="132"/>
      <c r="I12" s="133">
        <f>ROUND(F12*H12,2)</f>
        <v>0</v>
      </c>
    </row>
    <row r="13" spans="2:9" ht="30">
      <c r="B13" s="110" t="s">
        <v>266</v>
      </c>
      <c r="C13" s="129" t="s">
        <v>249</v>
      </c>
      <c r="D13" s="130" t="s">
        <v>102</v>
      </c>
      <c r="E13" s="131" t="s">
        <v>281</v>
      </c>
      <c r="F13" s="14">
        <v>30</v>
      </c>
      <c r="G13" s="132"/>
      <c r="H13" s="132"/>
      <c r="I13" s="133">
        <f>ROUND(F13*H13,2)</f>
        <v>0</v>
      </c>
    </row>
    <row r="14" spans="2:9" ht="15">
      <c r="B14" s="110"/>
      <c r="C14" s="129"/>
      <c r="D14" s="130"/>
      <c r="E14" s="131"/>
      <c r="F14" s="14"/>
      <c r="G14" s="132"/>
      <c r="H14" s="132"/>
      <c r="I14" s="133"/>
    </row>
    <row r="15" spans="2:9" ht="20.25">
      <c r="B15" s="306"/>
      <c r="C15" s="294">
        <v>2</v>
      </c>
      <c r="D15" s="295" t="s">
        <v>401</v>
      </c>
      <c r="E15" s="296"/>
      <c r="F15" s="297"/>
      <c r="G15" s="298"/>
      <c r="H15" s="299"/>
      <c r="I15" s="307">
        <f>SUBTOTAL(9,I16:I32)</f>
        <v>0</v>
      </c>
    </row>
    <row r="16" spans="2:9" ht="15.75">
      <c r="B16" s="110"/>
      <c r="C16" s="127">
        <v>2.1</v>
      </c>
      <c r="D16" s="128" t="s">
        <v>401</v>
      </c>
      <c r="E16" s="36"/>
      <c r="F16" s="7"/>
      <c r="G16" s="292"/>
      <c r="H16" s="21"/>
      <c r="I16" s="9"/>
    </row>
    <row r="17" spans="2:9" ht="25.5">
      <c r="B17" s="110" t="s">
        <v>266</v>
      </c>
      <c r="C17" s="10" t="s">
        <v>237</v>
      </c>
      <c r="D17" s="130" t="s">
        <v>238</v>
      </c>
      <c r="E17" s="131" t="s">
        <v>275</v>
      </c>
      <c r="F17" s="14">
        <v>1</v>
      </c>
      <c r="G17" s="15"/>
      <c r="H17" s="15"/>
      <c r="I17" s="133">
        <f aca="true" t="shared" si="0" ref="I17:I32">ROUND(F17*H17,2)</f>
        <v>0</v>
      </c>
    </row>
    <row r="18" spans="2:9" ht="15">
      <c r="B18" s="110" t="s">
        <v>266</v>
      </c>
      <c r="C18" s="10" t="s">
        <v>100</v>
      </c>
      <c r="D18" s="130" t="s">
        <v>70</v>
      </c>
      <c r="E18" s="131" t="s">
        <v>276</v>
      </c>
      <c r="F18" s="14">
        <v>150</v>
      </c>
      <c r="G18" s="15"/>
      <c r="H18" s="15"/>
      <c r="I18" s="133">
        <f t="shared" si="0"/>
        <v>0</v>
      </c>
    </row>
    <row r="19" spans="2:9" ht="15">
      <c r="B19" s="110" t="s">
        <v>266</v>
      </c>
      <c r="C19" s="10" t="s">
        <v>105</v>
      </c>
      <c r="D19" s="130" t="s">
        <v>73</v>
      </c>
      <c r="E19" s="131" t="s">
        <v>278</v>
      </c>
      <c r="F19" s="14">
        <v>105.73</v>
      </c>
      <c r="G19" s="15"/>
      <c r="H19" s="15"/>
      <c r="I19" s="133">
        <f t="shared" si="0"/>
        <v>0</v>
      </c>
    </row>
    <row r="20" spans="2:9" ht="15">
      <c r="B20" s="110" t="s">
        <v>266</v>
      </c>
      <c r="C20" s="10" t="s">
        <v>106</v>
      </c>
      <c r="D20" s="130" t="s">
        <v>74</v>
      </c>
      <c r="E20" s="131" t="s">
        <v>276</v>
      </c>
      <c r="F20" s="14">
        <v>2157</v>
      </c>
      <c r="G20" s="15"/>
      <c r="H20" s="15"/>
      <c r="I20" s="133">
        <f t="shared" si="0"/>
        <v>0</v>
      </c>
    </row>
    <row r="21" spans="2:9" ht="15">
      <c r="B21" s="110" t="s">
        <v>266</v>
      </c>
      <c r="C21" s="10" t="s">
        <v>107</v>
      </c>
      <c r="D21" s="130" t="s">
        <v>108</v>
      </c>
      <c r="E21" s="131" t="s">
        <v>276</v>
      </c>
      <c r="F21" s="14">
        <v>4299.4</v>
      </c>
      <c r="G21" s="15"/>
      <c r="H21" s="15"/>
      <c r="I21" s="133">
        <f t="shared" si="0"/>
        <v>0</v>
      </c>
    </row>
    <row r="22" spans="2:9" ht="15">
      <c r="B22" s="110" t="s">
        <v>266</v>
      </c>
      <c r="C22" s="10" t="s">
        <v>109</v>
      </c>
      <c r="D22" s="130" t="s">
        <v>75</v>
      </c>
      <c r="E22" s="131" t="s">
        <v>276</v>
      </c>
      <c r="F22" s="14">
        <v>4299.4</v>
      </c>
      <c r="G22" s="15"/>
      <c r="H22" s="15"/>
      <c r="I22" s="133">
        <f t="shared" si="0"/>
        <v>0</v>
      </c>
    </row>
    <row r="23" spans="2:9" ht="15">
      <c r="B23" s="110" t="s">
        <v>266</v>
      </c>
      <c r="C23" s="10" t="s">
        <v>111</v>
      </c>
      <c r="D23" s="130" t="s">
        <v>77</v>
      </c>
      <c r="E23" s="131" t="s">
        <v>275</v>
      </c>
      <c r="F23" s="14">
        <v>83</v>
      </c>
      <c r="G23" s="15"/>
      <c r="H23" s="15"/>
      <c r="I23" s="133">
        <f t="shared" si="0"/>
        <v>0</v>
      </c>
    </row>
    <row r="24" spans="2:9" ht="15">
      <c r="B24" s="110" t="s">
        <v>266</v>
      </c>
      <c r="C24" s="10" t="s">
        <v>110</v>
      </c>
      <c r="D24" s="130" t="s">
        <v>76</v>
      </c>
      <c r="E24" s="131" t="s">
        <v>276</v>
      </c>
      <c r="F24" s="14">
        <v>2157</v>
      </c>
      <c r="G24" s="15"/>
      <c r="H24" s="15"/>
      <c r="I24" s="133">
        <f t="shared" si="0"/>
        <v>0</v>
      </c>
    </row>
    <row r="25" spans="2:9" ht="15">
      <c r="B25" s="110" t="s">
        <v>266</v>
      </c>
      <c r="C25" s="10" t="s">
        <v>112</v>
      </c>
      <c r="D25" s="130" t="s">
        <v>78</v>
      </c>
      <c r="E25" s="131" t="s">
        <v>276</v>
      </c>
      <c r="F25" s="14">
        <v>4.8</v>
      </c>
      <c r="G25" s="15"/>
      <c r="H25" s="15"/>
      <c r="I25" s="133">
        <f t="shared" si="0"/>
        <v>0</v>
      </c>
    </row>
    <row r="26" spans="2:9" ht="15">
      <c r="B26" s="110" t="s">
        <v>266</v>
      </c>
      <c r="C26" s="10" t="s">
        <v>113</v>
      </c>
      <c r="D26" s="130" t="s">
        <v>88</v>
      </c>
      <c r="E26" s="131" t="s">
        <v>275</v>
      </c>
      <c r="F26" s="14">
        <v>75</v>
      </c>
      <c r="G26" s="15"/>
      <c r="H26" s="15"/>
      <c r="I26" s="133">
        <f t="shared" si="0"/>
        <v>0</v>
      </c>
    </row>
    <row r="27" spans="2:9" ht="15">
      <c r="B27" s="110" t="s">
        <v>266</v>
      </c>
      <c r="C27" s="10" t="s">
        <v>114</v>
      </c>
      <c r="D27" s="130" t="s">
        <v>79</v>
      </c>
      <c r="E27" s="131" t="s">
        <v>275</v>
      </c>
      <c r="F27" s="14">
        <v>20</v>
      </c>
      <c r="G27" s="15"/>
      <c r="H27" s="15"/>
      <c r="I27" s="133">
        <f t="shared" si="0"/>
        <v>0</v>
      </c>
    </row>
    <row r="28" spans="2:9" ht="15">
      <c r="B28" s="110" t="s">
        <v>266</v>
      </c>
      <c r="C28" s="10" t="s">
        <v>116</v>
      </c>
      <c r="D28" s="130" t="s">
        <v>117</v>
      </c>
      <c r="E28" s="131" t="s">
        <v>277</v>
      </c>
      <c r="F28" s="14">
        <v>200</v>
      </c>
      <c r="G28" s="15"/>
      <c r="H28" s="15"/>
      <c r="I28" s="133">
        <f t="shared" si="0"/>
        <v>0</v>
      </c>
    </row>
    <row r="29" spans="2:9" ht="15">
      <c r="B29" s="110" t="s">
        <v>266</v>
      </c>
      <c r="C29" s="10" t="s">
        <v>118</v>
      </c>
      <c r="D29" s="130" t="s">
        <v>4</v>
      </c>
      <c r="E29" s="131" t="s">
        <v>277</v>
      </c>
      <c r="F29" s="14">
        <v>918</v>
      </c>
      <c r="G29" s="15"/>
      <c r="H29" s="15"/>
      <c r="I29" s="133">
        <f t="shared" si="0"/>
        <v>0</v>
      </c>
    </row>
    <row r="30" spans="2:9" ht="15">
      <c r="B30" s="110" t="s">
        <v>266</v>
      </c>
      <c r="C30" s="10" t="s">
        <v>115</v>
      </c>
      <c r="D30" s="130" t="s">
        <v>80</v>
      </c>
      <c r="E30" s="131" t="s">
        <v>275</v>
      </c>
      <c r="F30" s="14">
        <v>46</v>
      </c>
      <c r="G30" s="15"/>
      <c r="H30" s="15"/>
      <c r="I30" s="133">
        <f t="shared" si="0"/>
        <v>0</v>
      </c>
    </row>
    <row r="31" spans="2:9" ht="15">
      <c r="B31" s="110" t="s">
        <v>266</v>
      </c>
      <c r="C31" s="10" t="s">
        <v>119</v>
      </c>
      <c r="D31" s="130" t="s">
        <v>81</v>
      </c>
      <c r="E31" s="131" t="s">
        <v>275</v>
      </c>
      <c r="F31" s="14">
        <v>10</v>
      </c>
      <c r="G31" s="15"/>
      <c r="H31" s="15"/>
      <c r="I31" s="133">
        <f t="shared" si="0"/>
        <v>0</v>
      </c>
    </row>
    <row r="32" spans="2:9" ht="25.5">
      <c r="B32" s="110" t="s">
        <v>266</v>
      </c>
      <c r="C32" s="10" t="s">
        <v>120</v>
      </c>
      <c r="D32" s="130" t="s">
        <v>121</v>
      </c>
      <c r="E32" s="131" t="s">
        <v>278</v>
      </c>
      <c r="F32" s="14">
        <v>203</v>
      </c>
      <c r="G32" s="15"/>
      <c r="H32" s="15"/>
      <c r="I32" s="133">
        <f t="shared" si="0"/>
        <v>0</v>
      </c>
    </row>
    <row r="33" spans="2:9" ht="15">
      <c r="B33" s="110"/>
      <c r="C33" s="129"/>
      <c r="D33" s="134"/>
      <c r="E33" s="36"/>
      <c r="F33" s="7"/>
      <c r="G33" s="292"/>
      <c r="H33" s="21"/>
      <c r="I33" s="9"/>
    </row>
    <row r="34" spans="2:9" ht="20.25">
      <c r="B34" s="306"/>
      <c r="C34" s="294">
        <v>3</v>
      </c>
      <c r="D34" s="295" t="s">
        <v>288</v>
      </c>
      <c r="E34" s="296"/>
      <c r="F34" s="297"/>
      <c r="G34" s="298"/>
      <c r="H34" s="299"/>
      <c r="I34" s="307">
        <f>SUBTOTAL(9,I35:I52)</f>
        <v>0</v>
      </c>
    </row>
    <row r="35" spans="2:9" ht="15.75">
      <c r="B35" s="110"/>
      <c r="C35" s="127">
        <v>3.1</v>
      </c>
      <c r="D35" s="128" t="s">
        <v>289</v>
      </c>
      <c r="E35" s="247">
        <v>8</v>
      </c>
      <c r="F35" s="248">
        <v>282</v>
      </c>
      <c r="G35" s="292"/>
      <c r="H35" s="21"/>
      <c r="I35" s="9"/>
    </row>
    <row r="36" spans="2:9" ht="15">
      <c r="B36" s="110" t="s">
        <v>266</v>
      </c>
      <c r="C36" s="129" t="s">
        <v>261</v>
      </c>
      <c r="D36" s="130" t="s">
        <v>53</v>
      </c>
      <c r="E36" s="131" t="s">
        <v>277</v>
      </c>
      <c r="F36" s="14">
        <v>2256</v>
      </c>
      <c r="G36" s="132"/>
      <c r="H36" s="132"/>
      <c r="I36" s="133">
        <f>ROUND(F36*H36,2)</f>
        <v>0</v>
      </c>
    </row>
    <row r="37" spans="2:9" ht="15.75">
      <c r="B37" s="110"/>
      <c r="C37" s="127">
        <v>3.3</v>
      </c>
      <c r="D37" s="128" t="s">
        <v>290</v>
      </c>
      <c r="E37" s="131"/>
      <c r="F37" s="248">
        <v>282</v>
      </c>
      <c r="G37" s="132"/>
      <c r="H37" s="132"/>
      <c r="I37" s="133"/>
    </row>
    <row r="38" spans="2:9" ht="15">
      <c r="B38" s="110" t="s">
        <v>266</v>
      </c>
      <c r="C38" s="129" t="s">
        <v>122</v>
      </c>
      <c r="D38" s="130" t="s">
        <v>82</v>
      </c>
      <c r="E38" s="131" t="s">
        <v>278</v>
      </c>
      <c r="F38" s="14">
        <v>50.76</v>
      </c>
      <c r="G38" s="132"/>
      <c r="H38" s="132"/>
      <c r="I38" s="133">
        <f aca="true" t="shared" si="1" ref="I38:I44">ROUND(F38*H38,2)</f>
        <v>0</v>
      </c>
    </row>
    <row r="39" spans="2:9" ht="15">
      <c r="B39" s="110" t="s">
        <v>266</v>
      </c>
      <c r="C39" s="129" t="s">
        <v>135</v>
      </c>
      <c r="D39" s="130" t="s">
        <v>52</v>
      </c>
      <c r="E39" s="131" t="s">
        <v>278</v>
      </c>
      <c r="F39" s="14">
        <v>3.5250000000000004</v>
      </c>
      <c r="G39" s="132"/>
      <c r="H39" s="132"/>
      <c r="I39" s="133">
        <f t="shared" si="1"/>
        <v>0</v>
      </c>
    </row>
    <row r="40" spans="2:9" ht="15">
      <c r="B40" s="110" t="s">
        <v>266</v>
      </c>
      <c r="C40" s="129" t="s">
        <v>127</v>
      </c>
      <c r="D40" s="130" t="s">
        <v>47</v>
      </c>
      <c r="E40" s="131" t="s">
        <v>276</v>
      </c>
      <c r="F40" s="14">
        <v>94</v>
      </c>
      <c r="G40" s="132"/>
      <c r="H40" s="132"/>
      <c r="I40" s="133">
        <f t="shared" si="1"/>
        <v>0</v>
      </c>
    </row>
    <row r="41" spans="2:9" ht="15">
      <c r="B41" s="110" t="s">
        <v>266</v>
      </c>
      <c r="C41" s="129" t="s">
        <v>130</v>
      </c>
      <c r="D41" s="130" t="s">
        <v>239</v>
      </c>
      <c r="E41" s="131" t="s">
        <v>283</v>
      </c>
      <c r="F41" s="14">
        <v>2605.68</v>
      </c>
      <c r="G41" s="132"/>
      <c r="H41" s="132"/>
      <c r="I41" s="133">
        <f t="shared" si="1"/>
        <v>0</v>
      </c>
    </row>
    <row r="42" spans="2:9" ht="15">
      <c r="B42" s="110" t="s">
        <v>266</v>
      </c>
      <c r="C42" s="129" t="s">
        <v>131</v>
      </c>
      <c r="D42" s="130" t="s">
        <v>251</v>
      </c>
      <c r="E42" s="131" t="s">
        <v>278</v>
      </c>
      <c r="F42" s="14">
        <v>35.25</v>
      </c>
      <c r="G42" s="132"/>
      <c r="H42" s="132"/>
      <c r="I42" s="133">
        <f t="shared" si="1"/>
        <v>0</v>
      </c>
    </row>
    <row r="43" spans="2:9" ht="15">
      <c r="B43" s="110" t="s">
        <v>266</v>
      </c>
      <c r="C43" s="129" t="s">
        <v>133</v>
      </c>
      <c r="D43" s="130" t="s">
        <v>50</v>
      </c>
      <c r="E43" s="131" t="s">
        <v>278</v>
      </c>
      <c r="F43" s="14">
        <v>35.25</v>
      </c>
      <c r="G43" s="132"/>
      <c r="H43" s="132"/>
      <c r="I43" s="133">
        <f t="shared" si="1"/>
        <v>0</v>
      </c>
    </row>
    <row r="44" spans="2:9" ht="15">
      <c r="B44" s="110" t="s">
        <v>266</v>
      </c>
      <c r="C44" s="129" t="s">
        <v>124</v>
      </c>
      <c r="D44" s="130" t="s">
        <v>83</v>
      </c>
      <c r="E44" s="131" t="s">
        <v>278</v>
      </c>
      <c r="F44" s="14">
        <v>15.509999999999998</v>
      </c>
      <c r="G44" s="132"/>
      <c r="H44" s="132"/>
      <c r="I44" s="133">
        <f t="shared" si="1"/>
        <v>0</v>
      </c>
    </row>
    <row r="45" spans="2:9" ht="15">
      <c r="B45" s="110"/>
      <c r="C45" s="135">
        <v>3.4</v>
      </c>
      <c r="D45" s="136" t="s">
        <v>291</v>
      </c>
      <c r="E45" s="131"/>
      <c r="F45" s="248">
        <v>704.9</v>
      </c>
      <c r="G45" s="132"/>
      <c r="H45" s="132"/>
      <c r="I45" s="133"/>
    </row>
    <row r="46" spans="2:9" ht="15">
      <c r="B46" s="110" t="s">
        <v>266</v>
      </c>
      <c r="C46" s="129" t="s">
        <v>122</v>
      </c>
      <c r="D46" s="130" t="s">
        <v>82</v>
      </c>
      <c r="E46" s="131" t="s">
        <v>278</v>
      </c>
      <c r="F46" s="14">
        <v>126.88199999999999</v>
      </c>
      <c r="G46" s="132"/>
      <c r="H46" s="132"/>
      <c r="I46" s="133">
        <f aca="true" t="shared" si="2" ref="I46:I52">ROUND(F46*H46,2)</f>
        <v>0</v>
      </c>
    </row>
    <row r="47" spans="2:9" ht="15">
      <c r="B47" s="110" t="s">
        <v>266</v>
      </c>
      <c r="C47" s="129" t="s">
        <v>135</v>
      </c>
      <c r="D47" s="130" t="s">
        <v>52</v>
      </c>
      <c r="E47" s="131" t="s">
        <v>278</v>
      </c>
      <c r="F47" s="14">
        <v>7.0489999999999995</v>
      </c>
      <c r="G47" s="132"/>
      <c r="H47" s="132"/>
      <c r="I47" s="133">
        <f t="shared" si="2"/>
        <v>0</v>
      </c>
    </row>
    <row r="48" spans="2:9" ht="15">
      <c r="B48" s="110" t="s">
        <v>266</v>
      </c>
      <c r="C48" s="129" t="s">
        <v>127</v>
      </c>
      <c r="D48" s="130" t="s">
        <v>47</v>
      </c>
      <c r="E48" s="131" t="s">
        <v>276</v>
      </c>
      <c r="F48" s="14">
        <v>422.94</v>
      </c>
      <c r="G48" s="132"/>
      <c r="H48" s="132"/>
      <c r="I48" s="133">
        <f t="shared" si="2"/>
        <v>0</v>
      </c>
    </row>
    <row r="49" spans="2:9" ht="15">
      <c r="B49" s="110" t="s">
        <v>266</v>
      </c>
      <c r="C49" s="129" t="s">
        <v>130</v>
      </c>
      <c r="D49" s="130" t="s">
        <v>239</v>
      </c>
      <c r="E49" s="131" t="s">
        <v>283</v>
      </c>
      <c r="F49" s="14">
        <v>4511.36</v>
      </c>
      <c r="G49" s="132"/>
      <c r="H49" s="132"/>
      <c r="I49" s="133">
        <f t="shared" si="2"/>
        <v>0</v>
      </c>
    </row>
    <row r="50" spans="2:9" ht="15">
      <c r="B50" s="110" t="s">
        <v>266</v>
      </c>
      <c r="C50" s="129" t="s">
        <v>131</v>
      </c>
      <c r="D50" s="130" t="s">
        <v>251</v>
      </c>
      <c r="E50" s="131" t="s">
        <v>278</v>
      </c>
      <c r="F50" s="14">
        <v>56.391999999999996</v>
      </c>
      <c r="G50" s="132"/>
      <c r="H50" s="132"/>
      <c r="I50" s="133">
        <f t="shared" si="2"/>
        <v>0</v>
      </c>
    </row>
    <row r="51" spans="2:9" ht="15">
      <c r="B51" s="110" t="s">
        <v>266</v>
      </c>
      <c r="C51" s="129" t="s">
        <v>133</v>
      </c>
      <c r="D51" s="130" t="s">
        <v>50</v>
      </c>
      <c r="E51" s="131" t="s">
        <v>278</v>
      </c>
      <c r="F51" s="14">
        <v>56.391999999999996</v>
      </c>
      <c r="G51" s="132"/>
      <c r="H51" s="132"/>
      <c r="I51" s="133">
        <f t="shared" si="2"/>
        <v>0</v>
      </c>
    </row>
    <row r="52" spans="2:9" ht="15">
      <c r="B52" s="110" t="s">
        <v>266</v>
      </c>
      <c r="C52" s="129" t="s">
        <v>124</v>
      </c>
      <c r="D52" s="130" t="s">
        <v>83</v>
      </c>
      <c r="E52" s="131" t="s">
        <v>278</v>
      </c>
      <c r="F52" s="14">
        <v>70.49</v>
      </c>
      <c r="G52" s="132"/>
      <c r="H52" s="132"/>
      <c r="I52" s="133">
        <f t="shared" si="2"/>
        <v>0</v>
      </c>
    </row>
    <row r="53" spans="2:9" ht="15">
      <c r="B53" s="110"/>
      <c r="C53" s="129"/>
      <c r="D53" s="130"/>
      <c r="E53" s="131"/>
      <c r="F53" s="14"/>
      <c r="G53" s="132"/>
      <c r="H53" s="132"/>
      <c r="I53" s="133"/>
    </row>
    <row r="54" spans="2:9" ht="20.25">
      <c r="B54" s="306"/>
      <c r="C54" s="294">
        <v>4</v>
      </c>
      <c r="D54" s="295" t="s">
        <v>292</v>
      </c>
      <c r="E54" s="296"/>
      <c r="F54" s="297"/>
      <c r="G54" s="298"/>
      <c r="H54" s="299"/>
      <c r="I54" s="307">
        <f>SUBTOTAL(9,I55:I59)</f>
        <v>0</v>
      </c>
    </row>
    <row r="55" spans="2:9" ht="15">
      <c r="B55" s="110"/>
      <c r="C55" s="135">
        <v>4.1</v>
      </c>
      <c r="D55" s="136" t="s">
        <v>293</v>
      </c>
      <c r="E55" s="131"/>
      <c r="F55" s="248">
        <v>282</v>
      </c>
      <c r="G55" s="132"/>
      <c r="H55" s="132"/>
      <c r="I55" s="133"/>
    </row>
    <row r="56" spans="2:9" ht="15">
      <c r="B56" s="110" t="s">
        <v>266</v>
      </c>
      <c r="C56" s="129" t="s">
        <v>128</v>
      </c>
      <c r="D56" s="130" t="s">
        <v>48</v>
      </c>
      <c r="E56" s="131" t="s">
        <v>276</v>
      </c>
      <c r="F56" s="14">
        <v>112.80000000000001</v>
      </c>
      <c r="G56" s="132"/>
      <c r="H56" s="132"/>
      <c r="I56" s="133">
        <f>ROUND(F56*H56,2)</f>
        <v>0</v>
      </c>
    </row>
    <row r="57" spans="2:9" ht="15">
      <c r="B57" s="110" t="s">
        <v>266</v>
      </c>
      <c r="C57" s="129" t="s">
        <v>129</v>
      </c>
      <c r="D57" s="130" t="s">
        <v>49</v>
      </c>
      <c r="E57" s="131" t="s">
        <v>283</v>
      </c>
      <c r="F57" s="14">
        <v>2070.8952</v>
      </c>
      <c r="G57" s="132"/>
      <c r="H57" s="132"/>
      <c r="I57" s="133">
        <f>ROUND(F57*H57,2)</f>
        <v>0</v>
      </c>
    </row>
    <row r="58" spans="2:9" ht="15">
      <c r="B58" s="110" t="s">
        <v>266</v>
      </c>
      <c r="C58" s="129" t="s">
        <v>132</v>
      </c>
      <c r="D58" s="130" t="s">
        <v>252</v>
      </c>
      <c r="E58" s="131" t="s">
        <v>278</v>
      </c>
      <c r="F58" s="14">
        <v>11.280000000000001</v>
      </c>
      <c r="G58" s="132"/>
      <c r="H58" s="132"/>
      <c r="I58" s="133">
        <f>ROUND(F58*H58,2)</f>
        <v>0</v>
      </c>
    </row>
    <row r="59" spans="2:9" ht="15">
      <c r="B59" s="110" t="s">
        <v>266</v>
      </c>
      <c r="C59" s="129" t="s">
        <v>134</v>
      </c>
      <c r="D59" s="130" t="s">
        <v>51</v>
      </c>
      <c r="E59" s="131" t="s">
        <v>278</v>
      </c>
      <c r="F59" s="14">
        <v>11.280000000000001</v>
      </c>
      <c r="G59" s="132"/>
      <c r="H59" s="132"/>
      <c r="I59" s="133">
        <f>ROUND(F59*H59,2)</f>
        <v>0</v>
      </c>
    </row>
    <row r="60" spans="2:9" ht="15">
      <c r="B60" s="110"/>
      <c r="C60" s="129"/>
      <c r="D60" s="130"/>
      <c r="E60" s="131"/>
      <c r="F60" s="14"/>
      <c r="G60" s="132"/>
      <c r="H60" s="132"/>
      <c r="I60" s="133"/>
    </row>
    <row r="61" spans="2:9" ht="15">
      <c r="B61" s="110"/>
      <c r="C61" s="129"/>
      <c r="D61" s="134"/>
      <c r="E61" s="131"/>
      <c r="F61" s="14"/>
      <c r="G61" s="132"/>
      <c r="H61" s="132"/>
      <c r="I61" s="133"/>
    </row>
    <row r="62" spans="2:9" ht="15">
      <c r="B62" s="8"/>
      <c r="C62" s="5"/>
      <c r="D62" s="6"/>
      <c r="E62" s="36"/>
      <c r="F62" s="7"/>
      <c r="G62" s="292"/>
      <c r="H62" s="21"/>
      <c r="I62" s="9"/>
    </row>
    <row r="63" spans="2:9" ht="20.25">
      <c r="B63" s="306"/>
      <c r="C63" s="294">
        <v>5</v>
      </c>
      <c r="D63" s="295" t="s">
        <v>294</v>
      </c>
      <c r="E63" s="296"/>
      <c r="F63" s="297"/>
      <c r="G63" s="298"/>
      <c r="H63" s="299"/>
      <c r="I63" s="307">
        <f>SUBTOTAL(9,I64:I66)</f>
        <v>0</v>
      </c>
    </row>
    <row r="64" spans="2:9" ht="15">
      <c r="B64" s="110" t="s">
        <v>266</v>
      </c>
      <c r="C64" s="129" t="s">
        <v>136</v>
      </c>
      <c r="D64" s="130" t="s">
        <v>54</v>
      </c>
      <c r="E64" s="131" t="s">
        <v>278</v>
      </c>
      <c r="F64" s="14">
        <v>28.195999999999998</v>
      </c>
      <c r="G64" s="132"/>
      <c r="H64" s="132"/>
      <c r="I64" s="133">
        <f>ROUND(F64*H64,2)</f>
        <v>0</v>
      </c>
    </row>
    <row r="65" spans="1:9" ht="15">
      <c r="A65" s="17"/>
      <c r="B65" s="110" t="s">
        <v>266</v>
      </c>
      <c r="C65" s="129" t="s">
        <v>160</v>
      </c>
      <c r="D65" s="130" t="s">
        <v>40</v>
      </c>
      <c r="E65" s="131" t="s">
        <v>276</v>
      </c>
      <c r="F65" s="14">
        <v>422.94</v>
      </c>
      <c r="G65" s="132"/>
      <c r="H65" s="132"/>
      <c r="I65" s="133">
        <f>ROUND(F65*H65,2)</f>
        <v>0</v>
      </c>
    </row>
    <row r="66" spans="2:9" ht="15">
      <c r="B66" s="110" t="s">
        <v>266</v>
      </c>
      <c r="C66" s="129" t="s">
        <v>137</v>
      </c>
      <c r="D66" s="130" t="s">
        <v>5</v>
      </c>
      <c r="E66" s="131" t="s">
        <v>276</v>
      </c>
      <c r="F66" s="14">
        <v>2031.91</v>
      </c>
      <c r="G66" s="132"/>
      <c r="H66" s="132"/>
      <c r="I66" s="133">
        <f>ROUND(F66*H66,2)</f>
        <v>0</v>
      </c>
    </row>
    <row r="67" spans="2:9" ht="15">
      <c r="B67" s="110"/>
      <c r="C67" s="147"/>
      <c r="D67" s="134"/>
      <c r="E67" s="131"/>
      <c r="F67" s="14"/>
      <c r="G67" s="132"/>
      <c r="H67" s="132"/>
      <c r="I67" s="133"/>
    </row>
    <row r="68" spans="2:9" ht="20.25">
      <c r="B68" s="306"/>
      <c r="C68" s="294">
        <v>6</v>
      </c>
      <c r="D68" s="295" t="s">
        <v>406</v>
      </c>
      <c r="E68" s="296"/>
      <c r="F68" s="297"/>
      <c r="G68" s="298"/>
      <c r="H68" s="299"/>
      <c r="I68" s="307">
        <f>SUBTOTAL(9,I69:I70)</f>
        <v>0</v>
      </c>
    </row>
    <row r="69" spans="2:9" ht="15">
      <c r="B69" s="110"/>
      <c r="C69" s="135">
        <v>6.1</v>
      </c>
      <c r="D69" s="136" t="s">
        <v>406</v>
      </c>
      <c r="E69" s="131"/>
      <c r="F69" s="14"/>
      <c r="G69" s="132"/>
      <c r="H69" s="132"/>
      <c r="I69" s="133"/>
    </row>
    <row r="70" spans="2:9" ht="25.5">
      <c r="B70" s="110" t="s">
        <v>266</v>
      </c>
      <c r="C70" s="129" t="s">
        <v>148</v>
      </c>
      <c r="D70" s="130" t="s">
        <v>242</v>
      </c>
      <c r="E70" s="131" t="s">
        <v>276</v>
      </c>
      <c r="F70" s="14">
        <v>2031.91</v>
      </c>
      <c r="G70" s="132"/>
      <c r="H70" s="132"/>
      <c r="I70" s="133">
        <f>ROUND(F70*H70,2)</f>
        <v>0</v>
      </c>
    </row>
    <row r="71" spans="2:9" ht="15">
      <c r="B71" s="110"/>
      <c r="C71" s="129"/>
      <c r="D71" s="130"/>
      <c r="E71" s="131"/>
      <c r="F71" s="14"/>
      <c r="G71" s="132"/>
      <c r="H71" s="132"/>
      <c r="I71" s="133"/>
    </row>
    <row r="72" spans="2:9" ht="20.25">
      <c r="B72" s="306"/>
      <c r="C72" s="294">
        <v>7</v>
      </c>
      <c r="D72" s="295" t="s">
        <v>247</v>
      </c>
      <c r="E72" s="296"/>
      <c r="F72" s="297"/>
      <c r="G72" s="298"/>
      <c r="H72" s="299"/>
      <c r="I72" s="307">
        <f>SUBTOTAL(9,I73:I87)</f>
        <v>0</v>
      </c>
    </row>
    <row r="73" spans="2:9" s="195" customFormat="1" ht="15">
      <c r="B73" s="196"/>
      <c r="C73" s="197">
        <v>7.1</v>
      </c>
      <c r="D73" s="198" t="s">
        <v>295</v>
      </c>
      <c r="E73" s="199"/>
      <c r="F73" s="200"/>
      <c r="G73" s="201"/>
      <c r="H73" s="201"/>
      <c r="I73" s="202"/>
    </row>
    <row r="74" spans="2:9" ht="15">
      <c r="B74" s="110" t="s">
        <v>266</v>
      </c>
      <c r="C74" s="129" t="s">
        <v>149</v>
      </c>
      <c r="D74" s="130" t="s">
        <v>150</v>
      </c>
      <c r="E74" s="131" t="s">
        <v>275</v>
      </c>
      <c r="F74" s="14">
        <v>40</v>
      </c>
      <c r="G74" s="132"/>
      <c r="H74" s="132"/>
      <c r="I74" s="133">
        <f>ROUND(F74*H74,2)</f>
        <v>0</v>
      </c>
    </row>
    <row r="75" spans="2:9" ht="15">
      <c r="B75" s="110" t="s">
        <v>266</v>
      </c>
      <c r="C75" s="129" t="s">
        <v>151</v>
      </c>
      <c r="D75" s="130" t="s">
        <v>152</v>
      </c>
      <c r="E75" s="131" t="s">
        <v>275</v>
      </c>
      <c r="F75" s="14">
        <v>43</v>
      </c>
      <c r="G75" s="132"/>
      <c r="H75" s="132"/>
      <c r="I75" s="133">
        <f>ROUND(F75*H75,2)</f>
        <v>0</v>
      </c>
    </row>
    <row r="76" spans="2:9" ht="15">
      <c r="B76" s="110"/>
      <c r="C76" s="135">
        <v>7.3</v>
      </c>
      <c r="D76" s="198" t="s">
        <v>378</v>
      </c>
      <c r="E76" s="131"/>
      <c r="F76" s="14"/>
      <c r="G76" s="132"/>
      <c r="H76" s="132"/>
      <c r="I76" s="133"/>
    </row>
    <row r="77" spans="2:9" ht="15">
      <c r="B77" s="110"/>
      <c r="C77" s="135"/>
      <c r="D77" s="6" t="s">
        <v>396</v>
      </c>
      <c r="E77" s="131"/>
      <c r="F77" s="14"/>
      <c r="G77" s="132"/>
      <c r="H77" s="132"/>
      <c r="I77" s="133"/>
    </row>
    <row r="78" spans="2:9" ht="15">
      <c r="B78" s="110" t="s">
        <v>266</v>
      </c>
      <c r="C78" s="129" t="s">
        <v>153</v>
      </c>
      <c r="D78" s="130" t="s">
        <v>154</v>
      </c>
      <c r="E78" s="131" t="s">
        <v>276</v>
      </c>
      <c r="F78" s="14">
        <v>144</v>
      </c>
      <c r="G78" s="132"/>
      <c r="H78" s="132"/>
      <c r="I78" s="133">
        <f>ROUND(F78*H78,2)</f>
        <v>0</v>
      </c>
    </row>
    <row r="79" spans="2:9" ht="15">
      <c r="B79" s="110"/>
      <c r="C79" s="129"/>
      <c r="D79" s="6" t="s">
        <v>317</v>
      </c>
      <c r="E79" s="131"/>
      <c r="F79" s="14"/>
      <c r="G79" s="132"/>
      <c r="H79" s="132"/>
      <c r="I79" s="133"/>
    </row>
    <row r="80" spans="2:9" ht="15">
      <c r="B80" s="110" t="s">
        <v>266</v>
      </c>
      <c r="C80" s="129" t="s">
        <v>156</v>
      </c>
      <c r="D80" s="130" t="s">
        <v>45</v>
      </c>
      <c r="E80" s="131" t="s">
        <v>276</v>
      </c>
      <c r="F80" s="14">
        <v>8.4</v>
      </c>
      <c r="G80" s="132"/>
      <c r="H80" s="132"/>
      <c r="I80" s="133">
        <f>ROUND(F80*H80,2)</f>
        <v>0</v>
      </c>
    </row>
    <row r="81" spans="2:9" ht="15">
      <c r="B81" s="110" t="s">
        <v>266</v>
      </c>
      <c r="C81" s="129" t="s">
        <v>157</v>
      </c>
      <c r="D81" s="130" t="s">
        <v>253</v>
      </c>
      <c r="E81" s="131" t="s">
        <v>279</v>
      </c>
      <c r="F81" s="14">
        <v>4</v>
      </c>
      <c r="G81" s="132"/>
      <c r="H81" s="132"/>
      <c r="I81" s="133">
        <f>ROUND(F81*H81,2)</f>
        <v>0</v>
      </c>
    </row>
    <row r="82" spans="2:9" ht="15">
      <c r="B82" s="110"/>
      <c r="C82" s="129"/>
      <c r="D82" s="6" t="s">
        <v>335</v>
      </c>
      <c r="E82" s="131"/>
      <c r="F82" s="14"/>
      <c r="G82" s="132"/>
      <c r="H82" s="132"/>
      <c r="I82" s="133"/>
    </row>
    <row r="83" spans="2:9" ht="15">
      <c r="B83" s="110" t="s">
        <v>266</v>
      </c>
      <c r="C83" s="129" t="s">
        <v>155</v>
      </c>
      <c r="D83" s="130" t="s">
        <v>6</v>
      </c>
      <c r="E83" s="131" t="s">
        <v>276</v>
      </c>
      <c r="F83" s="14">
        <v>222.52</v>
      </c>
      <c r="G83" s="132"/>
      <c r="H83" s="132"/>
      <c r="I83" s="133">
        <f>ROUND(F83*H83,2)</f>
        <v>0</v>
      </c>
    </row>
    <row r="84" spans="2:9" ht="15">
      <c r="B84" s="110" t="s">
        <v>266</v>
      </c>
      <c r="C84" s="129" t="s">
        <v>157</v>
      </c>
      <c r="D84" s="130" t="s">
        <v>253</v>
      </c>
      <c r="E84" s="131" t="s">
        <v>279</v>
      </c>
      <c r="F84" s="14">
        <v>77</v>
      </c>
      <c r="G84" s="132"/>
      <c r="H84" s="132"/>
      <c r="I84" s="133">
        <f>ROUND(F84*H84,2)</f>
        <v>0</v>
      </c>
    </row>
    <row r="85" spans="1:9" ht="15">
      <c r="A85" s="17"/>
      <c r="B85" s="110"/>
      <c r="C85" s="135">
        <v>7.3</v>
      </c>
      <c r="D85" s="31" t="s">
        <v>380</v>
      </c>
      <c r="E85" s="37"/>
      <c r="F85" s="14"/>
      <c r="G85" s="15"/>
      <c r="H85" s="15"/>
      <c r="I85" s="16"/>
    </row>
    <row r="86" spans="1:9" ht="15">
      <c r="A86" s="17"/>
      <c r="B86" s="110" t="s">
        <v>266</v>
      </c>
      <c r="C86" s="129" t="s">
        <v>138</v>
      </c>
      <c r="D86" s="130" t="s">
        <v>55</v>
      </c>
      <c r="E86" s="131" t="s">
        <v>276</v>
      </c>
      <c r="F86" s="14">
        <v>44</v>
      </c>
      <c r="G86" s="15"/>
      <c r="H86" s="15"/>
      <c r="I86" s="133">
        <f>ROUND(F86*H86,2)</f>
        <v>0</v>
      </c>
    </row>
    <row r="87" spans="2:9" ht="15">
      <c r="B87" s="110"/>
      <c r="C87" s="129"/>
      <c r="D87" s="134"/>
      <c r="E87" s="131"/>
      <c r="F87" s="14"/>
      <c r="G87" s="132"/>
      <c r="H87" s="132"/>
      <c r="I87" s="133"/>
    </row>
    <row r="88" spans="2:9" ht="20.25">
      <c r="B88" s="306"/>
      <c r="C88" s="294">
        <v>8</v>
      </c>
      <c r="D88" s="295" t="s">
        <v>296</v>
      </c>
      <c r="E88" s="296"/>
      <c r="F88" s="297"/>
      <c r="G88" s="298"/>
      <c r="H88" s="299"/>
      <c r="I88" s="307">
        <f>SUBTOTAL(9,I89:I93)</f>
        <v>0</v>
      </c>
    </row>
    <row r="89" spans="2:9" ht="15">
      <c r="B89" s="110"/>
      <c r="C89" s="135">
        <v>8.1</v>
      </c>
      <c r="D89" s="136" t="s">
        <v>297</v>
      </c>
      <c r="E89" s="131"/>
      <c r="F89" s="14"/>
      <c r="G89" s="132"/>
      <c r="H89" s="132"/>
      <c r="I89" s="133"/>
    </row>
    <row r="90" spans="2:9" ht="15">
      <c r="B90" s="110" t="s">
        <v>266</v>
      </c>
      <c r="C90" s="129" t="s">
        <v>140</v>
      </c>
      <c r="D90" s="130" t="s">
        <v>57</v>
      </c>
      <c r="E90" s="131" t="s">
        <v>276</v>
      </c>
      <c r="F90" s="14">
        <v>4063.82</v>
      </c>
      <c r="G90" s="132"/>
      <c r="H90" s="132"/>
      <c r="I90" s="133">
        <f>ROUND(F90*H90,2)</f>
        <v>0</v>
      </c>
    </row>
    <row r="91" spans="2:9" ht="15">
      <c r="B91" s="110" t="s">
        <v>266</v>
      </c>
      <c r="C91" s="129" t="s">
        <v>141</v>
      </c>
      <c r="D91" s="130" t="s">
        <v>58</v>
      </c>
      <c r="E91" s="131" t="s">
        <v>276</v>
      </c>
      <c r="F91" s="14">
        <v>4063.82</v>
      </c>
      <c r="G91" s="132"/>
      <c r="H91" s="132"/>
      <c r="I91" s="133">
        <f>ROUND(F91*H91,2)</f>
        <v>0</v>
      </c>
    </row>
    <row r="92" spans="2:9" ht="15">
      <c r="B92" s="110" t="s">
        <v>266</v>
      </c>
      <c r="C92" s="129" t="s">
        <v>142</v>
      </c>
      <c r="D92" s="130" t="s">
        <v>59</v>
      </c>
      <c r="E92" s="131" t="s">
        <v>276</v>
      </c>
      <c r="F92" s="14">
        <v>3426.5</v>
      </c>
      <c r="G92" s="132"/>
      <c r="H92" s="132"/>
      <c r="I92" s="133">
        <f>ROUND(F92*H92,2)</f>
        <v>0</v>
      </c>
    </row>
    <row r="93" spans="2:9" ht="25.5">
      <c r="B93" s="110" t="s">
        <v>266</v>
      </c>
      <c r="C93" s="129" t="s">
        <v>144</v>
      </c>
      <c r="D93" s="130" t="s">
        <v>145</v>
      </c>
      <c r="E93" s="131" t="s">
        <v>276</v>
      </c>
      <c r="F93" s="14">
        <v>637.32</v>
      </c>
      <c r="G93" s="132"/>
      <c r="H93" s="132"/>
      <c r="I93" s="133">
        <f>ROUND(F93*H93,2)</f>
        <v>0</v>
      </c>
    </row>
    <row r="94" spans="2:9" ht="15">
      <c r="B94" s="110"/>
      <c r="C94" s="129"/>
      <c r="D94" s="134"/>
      <c r="E94" s="131"/>
      <c r="F94" s="14"/>
      <c r="G94" s="132"/>
      <c r="H94" s="132"/>
      <c r="I94" s="133"/>
    </row>
    <row r="95" spans="2:9" ht="20.25">
      <c r="B95" s="306"/>
      <c r="C95" s="294">
        <v>9</v>
      </c>
      <c r="D95" s="295" t="s">
        <v>246</v>
      </c>
      <c r="E95" s="296"/>
      <c r="F95" s="297"/>
      <c r="G95" s="298"/>
      <c r="H95" s="299"/>
      <c r="I95" s="307">
        <f>SUBTOTAL(9,I96:I107)</f>
        <v>0</v>
      </c>
    </row>
    <row r="96" spans="2:9" ht="15">
      <c r="B96" s="110"/>
      <c r="C96" s="135">
        <v>9.1</v>
      </c>
      <c r="D96" s="136" t="s">
        <v>298</v>
      </c>
      <c r="E96" s="131"/>
      <c r="F96" s="249">
        <v>2031.91</v>
      </c>
      <c r="G96" s="250"/>
      <c r="H96" s="250"/>
      <c r="I96" s="133"/>
    </row>
    <row r="97" spans="2:9" ht="15">
      <c r="B97" s="110" t="s">
        <v>266</v>
      </c>
      <c r="C97" s="179" t="s">
        <v>123</v>
      </c>
      <c r="D97" s="130" t="s">
        <v>250</v>
      </c>
      <c r="E97" s="131" t="s">
        <v>278</v>
      </c>
      <c r="F97" s="14">
        <v>304.7865</v>
      </c>
      <c r="G97" s="132"/>
      <c r="H97" s="132"/>
      <c r="I97" s="133">
        <f aca="true" t="shared" si="3" ref="I97:I102">ROUND(F97*H97,2)</f>
        <v>0</v>
      </c>
    </row>
    <row r="98" spans="2:9" ht="15">
      <c r="B98" s="110" t="s">
        <v>266</v>
      </c>
      <c r="C98" s="179" t="s">
        <v>125</v>
      </c>
      <c r="D98" s="130" t="s">
        <v>84</v>
      </c>
      <c r="E98" s="131" t="s">
        <v>278</v>
      </c>
      <c r="F98" s="14">
        <v>162.55280000000002</v>
      </c>
      <c r="G98" s="132"/>
      <c r="H98" s="132"/>
      <c r="I98" s="133">
        <f t="shared" si="3"/>
        <v>0</v>
      </c>
    </row>
    <row r="99" spans="2:9" ht="15">
      <c r="B99" s="110" t="s">
        <v>266</v>
      </c>
      <c r="C99" s="129" t="s">
        <v>143</v>
      </c>
      <c r="D99" s="130" t="s">
        <v>60</v>
      </c>
      <c r="E99" s="131" t="s">
        <v>278</v>
      </c>
      <c r="F99" s="14">
        <v>101.59550000000002</v>
      </c>
      <c r="G99" s="132"/>
      <c r="H99" s="132"/>
      <c r="I99" s="133">
        <f t="shared" si="3"/>
        <v>0</v>
      </c>
    </row>
    <row r="100" spans="2:9" ht="15">
      <c r="B100" s="110" t="s">
        <v>266</v>
      </c>
      <c r="C100" s="129" t="s">
        <v>139</v>
      </c>
      <c r="D100" s="130" t="s">
        <v>56</v>
      </c>
      <c r="E100" s="131" t="s">
        <v>276</v>
      </c>
      <c r="F100" s="14">
        <v>2031.91</v>
      </c>
      <c r="G100" s="132"/>
      <c r="H100" s="132"/>
      <c r="I100" s="133">
        <f t="shared" si="3"/>
        <v>0</v>
      </c>
    </row>
    <row r="101" spans="2:9" ht="25.5">
      <c r="B101" s="110" t="s">
        <v>266</v>
      </c>
      <c r="C101" s="179" t="s">
        <v>146</v>
      </c>
      <c r="D101" s="130" t="s">
        <v>240</v>
      </c>
      <c r="E101" s="131" t="s">
        <v>276</v>
      </c>
      <c r="F101" s="14">
        <v>2031.91</v>
      </c>
      <c r="G101" s="132"/>
      <c r="H101" s="132"/>
      <c r="I101" s="133">
        <f t="shared" si="3"/>
        <v>0</v>
      </c>
    </row>
    <row r="102" spans="2:9" ht="25.5">
      <c r="B102" s="110" t="s">
        <v>266</v>
      </c>
      <c r="C102" s="179" t="s">
        <v>147</v>
      </c>
      <c r="D102" s="130" t="s">
        <v>241</v>
      </c>
      <c r="E102" s="131" t="s">
        <v>277</v>
      </c>
      <c r="F102" s="14">
        <v>1056</v>
      </c>
      <c r="G102" s="132"/>
      <c r="H102" s="132"/>
      <c r="I102" s="133">
        <f t="shared" si="3"/>
        <v>0</v>
      </c>
    </row>
    <row r="103" spans="2:9" ht="15">
      <c r="B103" s="110"/>
      <c r="C103" s="135">
        <v>9.2</v>
      </c>
      <c r="D103" s="136" t="s">
        <v>265</v>
      </c>
      <c r="E103" s="131"/>
      <c r="F103" s="249">
        <v>400</v>
      </c>
      <c r="G103" s="132"/>
      <c r="H103" s="132"/>
      <c r="I103" s="133"/>
    </row>
    <row r="104" spans="2:9" ht="15">
      <c r="B104" s="110" t="s">
        <v>266</v>
      </c>
      <c r="C104" s="179" t="s">
        <v>123</v>
      </c>
      <c r="D104" s="130" t="s">
        <v>250</v>
      </c>
      <c r="E104" s="131" t="s">
        <v>278</v>
      </c>
      <c r="F104" s="14">
        <v>6</v>
      </c>
      <c r="G104" s="132"/>
      <c r="H104" s="132"/>
      <c r="I104" s="133">
        <f>ROUND(F104*H104,2)</f>
        <v>0</v>
      </c>
    </row>
    <row r="105" spans="2:9" ht="15">
      <c r="B105" s="110" t="s">
        <v>266</v>
      </c>
      <c r="C105" s="179" t="s">
        <v>125</v>
      </c>
      <c r="D105" s="130" t="s">
        <v>84</v>
      </c>
      <c r="E105" s="131" t="s">
        <v>278</v>
      </c>
      <c r="F105" s="14">
        <v>32</v>
      </c>
      <c r="G105" s="132"/>
      <c r="H105" s="132"/>
      <c r="I105" s="133">
        <f>ROUND(F105*H105,2)</f>
        <v>0</v>
      </c>
    </row>
    <row r="106" spans="2:9" ht="15">
      <c r="B106" s="110" t="s">
        <v>266</v>
      </c>
      <c r="C106" s="129" t="s">
        <v>143</v>
      </c>
      <c r="D106" s="130" t="s">
        <v>60</v>
      </c>
      <c r="E106" s="131" t="s">
        <v>278</v>
      </c>
      <c r="F106" s="14">
        <v>28.000000000000004</v>
      </c>
      <c r="G106" s="132"/>
      <c r="H106" s="132"/>
      <c r="I106" s="133">
        <f>ROUND(F106*H106,2)</f>
        <v>0</v>
      </c>
    </row>
    <row r="107" spans="2:9" ht="15">
      <c r="B107" s="110"/>
      <c r="C107" s="135"/>
      <c r="D107" s="136"/>
      <c r="E107" s="131"/>
      <c r="F107" s="14"/>
      <c r="G107" s="132"/>
      <c r="H107" s="132"/>
      <c r="I107" s="133"/>
    </row>
    <row r="108" spans="2:9" ht="20.25">
      <c r="B108" s="306"/>
      <c r="C108" s="294">
        <v>10</v>
      </c>
      <c r="D108" s="295" t="s">
        <v>371</v>
      </c>
      <c r="E108" s="296"/>
      <c r="F108" s="297"/>
      <c r="G108" s="298"/>
      <c r="H108" s="299"/>
      <c r="I108" s="307">
        <f>SUBTOTAL(9,I109:I136)</f>
        <v>0</v>
      </c>
    </row>
    <row r="109" spans="2:9" s="22" customFormat="1" ht="20.25">
      <c r="B109" s="110"/>
      <c r="C109" s="135">
        <v>10.1</v>
      </c>
      <c r="D109" s="148" t="s">
        <v>268</v>
      </c>
      <c r="E109" s="23"/>
      <c r="F109" s="14"/>
      <c r="G109" s="132"/>
      <c r="H109" s="132"/>
      <c r="I109" s="133"/>
    </row>
    <row r="110" spans="2:9" ht="20.25">
      <c r="B110" s="110"/>
      <c r="C110" s="135"/>
      <c r="D110" s="128" t="s">
        <v>269</v>
      </c>
      <c r="E110" s="23"/>
      <c r="F110" s="14"/>
      <c r="G110" s="132"/>
      <c r="H110" s="132"/>
      <c r="I110" s="133"/>
    </row>
    <row r="111" spans="2:9" ht="15">
      <c r="B111" s="110" t="s">
        <v>266</v>
      </c>
      <c r="C111" s="129" t="s">
        <v>201</v>
      </c>
      <c r="D111" s="130" t="s">
        <v>92</v>
      </c>
      <c r="E111" s="131" t="s">
        <v>277</v>
      </c>
      <c r="F111" s="14">
        <v>84</v>
      </c>
      <c r="G111" s="132"/>
      <c r="H111" s="132"/>
      <c r="I111" s="133">
        <f>ROUND(F111*H111,2)</f>
        <v>0</v>
      </c>
    </row>
    <row r="112" spans="2:9" ht="15">
      <c r="B112" s="110" t="s">
        <v>266</v>
      </c>
      <c r="C112" s="129" t="s">
        <v>202</v>
      </c>
      <c r="D112" s="130" t="s">
        <v>93</v>
      </c>
      <c r="E112" s="131" t="s">
        <v>277</v>
      </c>
      <c r="F112" s="14">
        <v>183</v>
      </c>
      <c r="G112" s="132"/>
      <c r="H112" s="132"/>
      <c r="I112" s="133">
        <f>ROUND(F112*H112,2)</f>
        <v>0</v>
      </c>
    </row>
    <row r="113" spans="2:9" ht="15">
      <c r="B113" s="110" t="s">
        <v>266</v>
      </c>
      <c r="C113" s="129" t="s">
        <v>203</v>
      </c>
      <c r="D113" s="130" t="s">
        <v>94</v>
      </c>
      <c r="E113" s="131" t="s">
        <v>277</v>
      </c>
      <c r="F113" s="14">
        <v>259</v>
      </c>
      <c r="G113" s="132"/>
      <c r="H113" s="132"/>
      <c r="I113" s="133">
        <f>ROUND(F113*H113,2)</f>
        <v>0</v>
      </c>
    </row>
    <row r="114" spans="2:9" ht="20.25">
      <c r="B114" s="110" t="s">
        <v>266</v>
      </c>
      <c r="C114" s="135"/>
      <c r="D114" s="128" t="s">
        <v>270</v>
      </c>
      <c r="E114" s="23"/>
      <c r="F114" s="14"/>
      <c r="G114" s="132"/>
      <c r="H114" s="132"/>
      <c r="I114" s="133"/>
    </row>
    <row r="115" spans="2:9" ht="15">
      <c r="B115" s="110" t="s">
        <v>266</v>
      </c>
      <c r="C115" s="129" t="s">
        <v>216</v>
      </c>
      <c r="D115" s="130" t="s">
        <v>25</v>
      </c>
      <c r="E115" s="131" t="s">
        <v>275</v>
      </c>
      <c r="F115" s="14">
        <v>18</v>
      </c>
      <c r="G115" s="132"/>
      <c r="H115" s="132"/>
      <c r="I115" s="133">
        <f>ROUND(F115*H115,2)</f>
        <v>0</v>
      </c>
    </row>
    <row r="116" spans="2:9" ht="15">
      <c r="B116" s="110" t="s">
        <v>266</v>
      </c>
      <c r="C116" s="129" t="s">
        <v>215</v>
      </c>
      <c r="D116" s="130" t="s">
        <v>24</v>
      </c>
      <c r="E116" s="131" t="s">
        <v>275</v>
      </c>
      <c r="F116" s="14">
        <v>22</v>
      </c>
      <c r="G116" s="132"/>
      <c r="H116" s="132"/>
      <c r="I116" s="133">
        <f>ROUND(F116*H116,2)</f>
        <v>0</v>
      </c>
    </row>
    <row r="117" spans="2:9" ht="15">
      <c r="B117" s="110" t="s">
        <v>266</v>
      </c>
      <c r="C117" s="129" t="s">
        <v>218</v>
      </c>
      <c r="D117" s="130" t="s">
        <v>27</v>
      </c>
      <c r="E117" s="131" t="s">
        <v>275</v>
      </c>
      <c r="F117" s="14">
        <v>22</v>
      </c>
      <c r="G117" s="132"/>
      <c r="H117" s="132"/>
      <c r="I117" s="133">
        <f>ROUND(F117*H117,2)</f>
        <v>0</v>
      </c>
    </row>
    <row r="118" spans="2:9" s="22" customFormat="1" ht="20.25">
      <c r="B118" s="110" t="s">
        <v>266</v>
      </c>
      <c r="C118" s="135">
        <v>10.2</v>
      </c>
      <c r="D118" s="148" t="s">
        <v>271</v>
      </c>
      <c r="E118" s="23"/>
      <c r="F118" s="14"/>
      <c r="G118" s="132"/>
      <c r="H118" s="132"/>
      <c r="I118" s="133"/>
    </row>
    <row r="119" spans="2:9" ht="20.25">
      <c r="B119" s="110" t="s">
        <v>266</v>
      </c>
      <c r="C119" s="135"/>
      <c r="D119" s="128" t="s">
        <v>272</v>
      </c>
      <c r="E119" s="23"/>
      <c r="F119" s="14"/>
      <c r="G119" s="132"/>
      <c r="H119" s="132"/>
      <c r="I119" s="133"/>
    </row>
    <row r="120" spans="2:9" ht="15">
      <c r="B120" s="110" t="s">
        <v>266</v>
      </c>
      <c r="C120" s="129" t="s">
        <v>204</v>
      </c>
      <c r="D120" s="130" t="s">
        <v>95</v>
      </c>
      <c r="E120" s="131" t="s">
        <v>277</v>
      </c>
      <c r="F120" s="14">
        <v>147</v>
      </c>
      <c r="G120" s="132"/>
      <c r="H120" s="132"/>
      <c r="I120" s="133">
        <f>ROUND(F120*H120,2)</f>
        <v>0</v>
      </c>
    </row>
    <row r="121" spans="2:9" ht="25.5">
      <c r="B121" s="110" t="s">
        <v>266</v>
      </c>
      <c r="C121" s="129" t="s">
        <v>205</v>
      </c>
      <c r="D121" s="130" t="s">
        <v>96</v>
      </c>
      <c r="E121" s="131" t="s">
        <v>277</v>
      </c>
      <c r="F121" s="14">
        <v>139</v>
      </c>
      <c r="G121" s="132"/>
      <c r="H121" s="132"/>
      <c r="I121" s="133">
        <f>ROUND(F121*H121,2)</f>
        <v>0</v>
      </c>
    </row>
    <row r="122" spans="2:9" ht="25.5">
      <c r="B122" s="110" t="s">
        <v>266</v>
      </c>
      <c r="C122" s="129" t="s">
        <v>206</v>
      </c>
      <c r="D122" s="130" t="s">
        <v>97</v>
      </c>
      <c r="E122" s="131" t="s">
        <v>277</v>
      </c>
      <c r="F122" s="14">
        <v>290</v>
      </c>
      <c r="G122" s="132"/>
      <c r="H122" s="132"/>
      <c r="I122" s="133">
        <f>ROUND(F122*H122,2)</f>
        <v>0</v>
      </c>
    </row>
    <row r="123" spans="2:9" ht="15">
      <c r="B123" s="110" t="s">
        <v>266</v>
      </c>
      <c r="C123" s="10" t="s">
        <v>221</v>
      </c>
      <c r="D123" s="130" t="s">
        <v>11</v>
      </c>
      <c r="E123" s="131" t="s">
        <v>275</v>
      </c>
      <c r="F123" s="14">
        <v>26</v>
      </c>
      <c r="G123" s="15"/>
      <c r="H123" s="15"/>
      <c r="I123" s="133">
        <f>ROUND(F123*H123,2)</f>
        <v>0</v>
      </c>
    </row>
    <row r="124" spans="2:9" ht="15">
      <c r="B124" s="110"/>
      <c r="C124" s="129"/>
      <c r="D124" s="134"/>
      <c r="E124" s="131"/>
      <c r="F124" s="14"/>
      <c r="G124" s="132"/>
      <c r="H124" s="132"/>
      <c r="I124" s="133"/>
    </row>
    <row r="125" spans="2:9" ht="15">
      <c r="B125" s="8"/>
      <c r="C125" s="5"/>
      <c r="D125" s="6"/>
      <c r="E125" s="36"/>
      <c r="F125" s="7"/>
      <c r="G125" s="292"/>
      <c r="H125" s="21"/>
      <c r="I125" s="9"/>
    </row>
    <row r="126" spans="2:9" s="22" customFormat="1" ht="20.25">
      <c r="B126" s="110" t="s">
        <v>266</v>
      </c>
      <c r="C126" s="135">
        <v>10.3</v>
      </c>
      <c r="D126" s="149" t="s">
        <v>273</v>
      </c>
      <c r="E126" s="23"/>
      <c r="F126" s="14"/>
      <c r="G126" s="132"/>
      <c r="H126" s="132"/>
      <c r="I126" s="133"/>
    </row>
    <row r="127" spans="2:11" ht="18">
      <c r="B127" s="110" t="s">
        <v>266</v>
      </c>
      <c r="C127" s="129" t="s">
        <v>159</v>
      </c>
      <c r="D127" s="130" t="s">
        <v>258</v>
      </c>
      <c r="E127" s="131" t="s">
        <v>275</v>
      </c>
      <c r="F127" s="14">
        <v>27</v>
      </c>
      <c r="G127" s="132"/>
      <c r="H127" s="132"/>
      <c r="I127" s="133">
        <f aca="true" t="shared" si="4" ref="I127:I132">ROUND(F127*H127,2)</f>
        <v>0</v>
      </c>
      <c r="K127" s="22"/>
    </row>
    <row r="128" spans="2:11" ht="18">
      <c r="B128" s="110" t="s">
        <v>266</v>
      </c>
      <c r="C128" s="129" t="s">
        <v>158</v>
      </c>
      <c r="D128" s="130" t="s">
        <v>46</v>
      </c>
      <c r="E128" s="131" t="s">
        <v>275</v>
      </c>
      <c r="F128" s="14">
        <v>37</v>
      </c>
      <c r="G128" s="132"/>
      <c r="H128" s="132"/>
      <c r="I128" s="133">
        <f t="shared" si="4"/>
        <v>0</v>
      </c>
      <c r="K128" s="22"/>
    </row>
    <row r="129" spans="2:11" ht="25.5">
      <c r="B129" s="110" t="s">
        <v>266</v>
      </c>
      <c r="C129" s="129" t="s">
        <v>198</v>
      </c>
      <c r="D129" s="130" t="s">
        <v>32</v>
      </c>
      <c r="E129" s="131" t="s">
        <v>275</v>
      </c>
      <c r="F129" s="14">
        <v>37</v>
      </c>
      <c r="G129" s="132"/>
      <c r="H129" s="132"/>
      <c r="I129" s="133">
        <f t="shared" si="4"/>
        <v>0</v>
      </c>
      <c r="K129" s="22"/>
    </row>
    <row r="130" spans="2:11" ht="18">
      <c r="B130" s="110" t="s">
        <v>266</v>
      </c>
      <c r="C130" s="150" t="s">
        <v>199</v>
      </c>
      <c r="D130" s="130" t="s">
        <v>33</v>
      </c>
      <c r="E130" s="131" t="s">
        <v>275</v>
      </c>
      <c r="F130" s="14">
        <v>37</v>
      </c>
      <c r="G130" s="132"/>
      <c r="H130" s="132"/>
      <c r="I130" s="133">
        <f t="shared" si="4"/>
        <v>0</v>
      </c>
      <c r="K130" s="22"/>
    </row>
    <row r="131" spans="2:11" ht="18">
      <c r="B131" s="110" t="s">
        <v>266</v>
      </c>
      <c r="C131" s="150" t="s">
        <v>200</v>
      </c>
      <c r="D131" s="130" t="s">
        <v>34</v>
      </c>
      <c r="E131" s="131" t="s">
        <v>275</v>
      </c>
      <c r="F131" s="14">
        <v>39</v>
      </c>
      <c r="G131" s="132"/>
      <c r="H131" s="132"/>
      <c r="I131" s="133">
        <f t="shared" si="4"/>
        <v>0</v>
      </c>
      <c r="K131" s="22"/>
    </row>
    <row r="132" spans="2:9" ht="15">
      <c r="B132" s="110" t="s">
        <v>266</v>
      </c>
      <c r="C132" s="129" t="s">
        <v>188</v>
      </c>
      <c r="D132" s="130" t="s">
        <v>257</v>
      </c>
      <c r="E132" s="131" t="s">
        <v>275</v>
      </c>
      <c r="F132" s="14">
        <v>15</v>
      </c>
      <c r="G132" s="132"/>
      <c r="H132" s="132"/>
      <c r="I132" s="133">
        <f t="shared" si="4"/>
        <v>0</v>
      </c>
    </row>
    <row r="133" spans="2:9" ht="15">
      <c r="B133" s="110"/>
      <c r="C133" s="135">
        <v>10.4</v>
      </c>
      <c r="D133" s="136" t="s">
        <v>299</v>
      </c>
      <c r="E133" s="131"/>
      <c r="F133" s="14"/>
      <c r="G133" s="132"/>
      <c r="H133" s="132"/>
      <c r="I133" s="133"/>
    </row>
    <row r="134" spans="2:9" ht="15">
      <c r="B134" s="110" t="s">
        <v>266</v>
      </c>
      <c r="C134" s="129" t="s">
        <v>193</v>
      </c>
      <c r="D134" s="130" t="s">
        <v>194</v>
      </c>
      <c r="E134" s="131" t="s">
        <v>275</v>
      </c>
      <c r="F134" s="14">
        <v>15</v>
      </c>
      <c r="G134" s="132"/>
      <c r="H134" s="132"/>
      <c r="I134" s="133">
        <f>ROUND(F134*H134,2)</f>
        <v>0</v>
      </c>
    </row>
    <row r="135" spans="2:9" ht="15">
      <c r="B135" s="110" t="s">
        <v>266</v>
      </c>
      <c r="C135" s="129" t="s">
        <v>195</v>
      </c>
      <c r="D135" s="130" t="s">
        <v>31</v>
      </c>
      <c r="E135" s="131" t="s">
        <v>275</v>
      </c>
      <c r="F135" s="14">
        <v>37</v>
      </c>
      <c r="G135" s="132"/>
      <c r="H135" s="132"/>
      <c r="I135" s="133">
        <f>ROUND(F135*H135,2)</f>
        <v>0</v>
      </c>
    </row>
    <row r="136" spans="2:9" ht="15">
      <c r="B136" s="110" t="s">
        <v>266</v>
      </c>
      <c r="C136" s="129" t="s">
        <v>196</v>
      </c>
      <c r="D136" s="130" t="s">
        <v>197</v>
      </c>
      <c r="E136" s="131" t="s">
        <v>275</v>
      </c>
      <c r="F136" s="14">
        <v>27</v>
      </c>
      <c r="G136" s="132"/>
      <c r="H136" s="132"/>
      <c r="I136" s="133">
        <f>ROUND(F136*H136,2)</f>
        <v>0</v>
      </c>
    </row>
    <row r="137" spans="2:9" ht="15">
      <c r="B137" s="110"/>
      <c r="C137" s="135"/>
      <c r="D137" s="136"/>
      <c r="E137" s="131"/>
      <c r="F137" s="14"/>
      <c r="G137" s="132"/>
      <c r="H137" s="132"/>
      <c r="I137" s="133"/>
    </row>
    <row r="138" spans="2:9" ht="20.25">
      <c r="B138" s="306"/>
      <c r="C138" s="294">
        <v>11</v>
      </c>
      <c r="D138" s="295" t="s">
        <v>300</v>
      </c>
      <c r="E138" s="296"/>
      <c r="F138" s="297"/>
      <c r="G138" s="298"/>
      <c r="H138" s="299"/>
      <c r="I138" s="307">
        <f>SUBTOTAL(9,I139:I162)</f>
        <v>0</v>
      </c>
    </row>
    <row r="139" spans="2:9" ht="15.75">
      <c r="B139" s="110"/>
      <c r="C139" s="135">
        <v>11.1</v>
      </c>
      <c r="D139" s="128" t="s">
        <v>301</v>
      </c>
      <c r="E139" s="131"/>
      <c r="F139" s="14"/>
      <c r="G139" s="132"/>
      <c r="H139" s="132"/>
      <c r="I139" s="133"/>
    </row>
    <row r="140" spans="2:9" ht="15">
      <c r="B140" s="110" t="s">
        <v>266</v>
      </c>
      <c r="C140" s="129" t="s">
        <v>168</v>
      </c>
      <c r="D140" s="130" t="s">
        <v>8</v>
      </c>
      <c r="E140" s="131" t="s">
        <v>277</v>
      </c>
      <c r="F140" s="14">
        <v>50</v>
      </c>
      <c r="G140" s="132"/>
      <c r="H140" s="132"/>
      <c r="I140" s="133">
        <f>ROUND(F140*H140,2)</f>
        <v>0</v>
      </c>
    </row>
    <row r="141" spans="2:9" ht="15">
      <c r="B141" s="110" t="s">
        <v>266</v>
      </c>
      <c r="C141" s="293" t="s">
        <v>175</v>
      </c>
      <c r="D141" s="130" t="s">
        <v>10</v>
      </c>
      <c r="E141" s="131" t="s">
        <v>277</v>
      </c>
      <c r="F141" s="14">
        <v>250</v>
      </c>
      <c r="G141" s="132"/>
      <c r="H141" s="132"/>
      <c r="I141" s="133">
        <f>ROUND(F141*H141,2)</f>
        <v>0</v>
      </c>
    </row>
    <row r="142" spans="2:9" ht="15.75">
      <c r="B142" s="110"/>
      <c r="C142" s="135">
        <v>11.2</v>
      </c>
      <c r="D142" s="128" t="s">
        <v>302</v>
      </c>
      <c r="E142" s="131"/>
      <c r="F142" s="14"/>
      <c r="G142" s="132"/>
      <c r="H142" s="132"/>
      <c r="I142" s="133"/>
    </row>
    <row r="143" spans="2:9" ht="15">
      <c r="B143" s="110" t="s">
        <v>266</v>
      </c>
      <c r="C143" s="129" t="s">
        <v>167</v>
      </c>
      <c r="D143" s="130" t="s">
        <v>7</v>
      </c>
      <c r="E143" s="131" t="s">
        <v>277</v>
      </c>
      <c r="F143" s="14">
        <v>2200</v>
      </c>
      <c r="G143" s="132"/>
      <c r="H143" s="132"/>
      <c r="I143" s="133">
        <f>ROUND(F143*H143,2)</f>
        <v>0</v>
      </c>
    </row>
    <row r="144" spans="2:9" ht="15">
      <c r="B144" s="110" t="s">
        <v>266</v>
      </c>
      <c r="C144" s="129" t="s">
        <v>180</v>
      </c>
      <c r="D144" s="130" t="s">
        <v>90</v>
      </c>
      <c r="E144" s="131" t="s">
        <v>275</v>
      </c>
      <c r="F144" s="14">
        <v>440</v>
      </c>
      <c r="G144" s="132"/>
      <c r="H144" s="132"/>
      <c r="I144" s="133">
        <f>ROUND(F144*H144,2)</f>
        <v>0</v>
      </c>
    </row>
    <row r="145" spans="2:9" ht="15">
      <c r="B145" s="110" t="s">
        <v>266</v>
      </c>
      <c r="C145" s="129" t="s">
        <v>181</v>
      </c>
      <c r="D145" s="130" t="s">
        <v>91</v>
      </c>
      <c r="E145" s="131" t="s">
        <v>275</v>
      </c>
      <c r="F145" s="14">
        <v>110</v>
      </c>
      <c r="G145" s="132"/>
      <c r="H145" s="132"/>
      <c r="I145" s="133">
        <f>ROUND(F145*H145,2)</f>
        <v>0</v>
      </c>
    </row>
    <row r="146" spans="2:9" ht="15.75">
      <c r="B146" s="110"/>
      <c r="C146" s="135">
        <v>11.3</v>
      </c>
      <c r="D146" s="128" t="s">
        <v>303</v>
      </c>
      <c r="E146" s="131"/>
      <c r="F146" s="14"/>
      <c r="G146" s="132"/>
      <c r="H146" s="132"/>
      <c r="I146" s="133"/>
    </row>
    <row r="147" spans="2:9" ht="15">
      <c r="B147" s="110" t="s">
        <v>266</v>
      </c>
      <c r="C147" s="129" t="s">
        <v>170</v>
      </c>
      <c r="D147" s="130" t="s">
        <v>36</v>
      </c>
      <c r="E147" s="131" t="s">
        <v>277</v>
      </c>
      <c r="F147" s="14">
        <v>1100</v>
      </c>
      <c r="G147" s="132"/>
      <c r="H147" s="132"/>
      <c r="I147" s="133">
        <f>ROUND(F147*H147,2)</f>
        <v>0</v>
      </c>
    </row>
    <row r="148" spans="2:9" ht="15">
      <c r="B148" s="110" t="s">
        <v>266</v>
      </c>
      <c r="C148" s="129" t="s">
        <v>171</v>
      </c>
      <c r="D148" s="130" t="s">
        <v>37</v>
      </c>
      <c r="E148" s="131" t="s">
        <v>277</v>
      </c>
      <c r="F148" s="14">
        <v>4950</v>
      </c>
      <c r="G148" s="132"/>
      <c r="H148" s="132"/>
      <c r="I148" s="133">
        <f>ROUND(F148*H148,2)</f>
        <v>0</v>
      </c>
    </row>
    <row r="149" spans="2:9" ht="15">
      <c r="B149" s="110" t="s">
        <v>266</v>
      </c>
      <c r="C149" s="129" t="s">
        <v>172</v>
      </c>
      <c r="D149" s="130" t="s">
        <v>173</v>
      </c>
      <c r="E149" s="131" t="s">
        <v>277</v>
      </c>
      <c r="F149" s="14">
        <v>1650</v>
      </c>
      <c r="G149" s="132"/>
      <c r="H149" s="132"/>
      <c r="I149" s="133">
        <f>ROUND(F149*H149,2)</f>
        <v>0</v>
      </c>
    </row>
    <row r="150" spans="2:9" ht="15">
      <c r="B150" s="110" t="s">
        <v>266</v>
      </c>
      <c r="C150" s="129" t="s">
        <v>174</v>
      </c>
      <c r="D150" s="130" t="s">
        <v>9</v>
      </c>
      <c r="E150" s="131" t="s">
        <v>277</v>
      </c>
      <c r="F150" s="14">
        <v>1650</v>
      </c>
      <c r="G150" s="132"/>
      <c r="H150" s="132"/>
      <c r="I150" s="133">
        <f>ROUND(F150*H150,2)</f>
        <v>0</v>
      </c>
    </row>
    <row r="151" spans="2:9" ht="15.75">
      <c r="B151" s="110"/>
      <c r="C151" s="135">
        <v>11.4</v>
      </c>
      <c r="D151" s="128" t="s">
        <v>304</v>
      </c>
      <c r="E151" s="131"/>
      <c r="F151" s="14"/>
      <c r="G151" s="132"/>
      <c r="H151" s="132"/>
      <c r="I151" s="133"/>
    </row>
    <row r="152" spans="2:9" ht="15">
      <c r="B152" s="110" t="s">
        <v>266</v>
      </c>
      <c r="C152" s="129" t="s">
        <v>183</v>
      </c>
      <c r="D152" s="130" t="s">
        <v>1</v>
      </c>
      <c r="E152" s="131" t="s">
        <v>279</v>
      </c>
      <c r="F152" s="14">
        <v>246</v>
      </c>
      <c r="G152" s="132"/>
      <c r="H152" s="132"/>
      <c r="I152" s="133">
        <f>ROUND(F152*H152,2)</f>
        <v>0</v>
      </c>
    </row>
    <row r="153" spans="2:9" ht="15">
      <c r="B153" s="110" t="s">
        <v>266</v>
      </c>
      <c r="C153" s="129" t="s">
        <v>184</v>
      </c>
      <c r="D153" s="130" t="s">
        <v>38</v>
      </c>
      <c r="E153" s="131" t="s">
        <v>279</v>
      </c>
      <c r="F153" s="14">
        <v>82</v>
      </c>
      <c r="G153" s="132"/>
      <c r="H153" s="132"/>
      <c r="I153" s="133">
        <f>ROUND(F153*H153,2)</f>
        <v>0</v>
      </c>
    </row>
    <row r="154" spans="2:9" ht="15">
      <c r="B154" s="110" t="s">
        <v>266</v>
      </c>
      <c r="C154" s="129" t="s">
        <v>235</v>
      </c>
      <c r="D154" s="130" t="s">
        <v>20</v>
      </c>
      <c r="E154" s="131" t="s">
        <v>275</v>
      </c>
      <c r="F154" s="14">
        <v>53</v>
      </c>
      <c r="G154" s="132"/>
      <c r="H154" s="132"/>
      <c r="I154" s="133">
        <f>ROUND(F154*H154,2)</f>
        <v>0</v>
      </c>
    </row>
    <row r="155" spans="2:9" ht="15.75">
      <c r="B155" s="110"/>
      <c r="C155" s="135">
        <v>11.5</v>
      </c>
      <c r="D155" s="128" t="s">
        <v>89</v>
      </c>
      <c r="E155" s="131"/>
      <c r="F155" s="14"/>
      <c r="G155" s="132"/>
      <c r="H155" s="132"/>
      <c r="I155" s="133"/>
    </row>
    <row r="156" spans="2:9" ht="15">
      <c r="B156" s="110" t="s">
        <v>266</v>
      </c>
      <c r="C156" s="129" t="s">
        <v>163</v>
      </c>
      <c r="D156" s="130" t="s">
        <v>87</v>
      </c>
      <c r="E156" s="131" t="s">
        <v>275</v>
      </c>
      <c r="F156" s="14">
        <v>4</v>
      </c>
      <c r="G156" s="132"/>
      <c r="H156" s="15"/>
      <c r="I156" s="133">
        <f>ROUND(F156*H156,2)</f>
        <v>0</v>
      </c>
    </row>
    <row r="157" spans="2:9" ht="15">
      <c r="B157" s="110" t="s">
        <v>266</v>
      </c>
      <c r="C157" s="129" t="s">
        <v>165</v>
      </c>
      <c r="D157" s="130" t="s">
        <v>43</v>
      </c>
      <c r="E157" s="131" t="s">
        <v>275</v>
      </c>
      <c r="F157" s="14">
        <v>136</v>
      </c>
      <c r="G157" s="132"/>
      <c r="H157" s="132"/>
      <c r="I157" s="133">
        <f>ROUND(F157*H157,2)</f>
        <v>0</v>
      </c>
    </row>
    <row r="158" spans="2:9" ht="15">
      <c r="B158" s="110" t="s">
        <v>266</v>
      </c>
      <c r="C158" s="129" t="s">
        <v>166</v>
      </c>
      <c r="D158" s="130" t="s">
        <v>44</v>
      </c>
      <c r="E158" s="131" t="s">
        <v>275</v>
      </c>
      <c r="F158" s="14">
        <v>22</v>
      </c>
      <c r="G158" s="132"/>
      <c r="H158" s="132"/>
      <c r="I158" s="133">
        <f>ROUND(F158*H158,2)</f>
        <v>0</v>
      </c>
    </row>
    <row r="159" spans="2:9" ht="15.75">
      <c r="B159" s="110"/>
      <c r="C159" s="135">
        <v>11.6</v>
      </c>
      <c r="D159" s="128" t="s">
        <v>305</v>
      </c>
      <c r="E159" s="131"/>
      <c r="F159" s="14"/>
      <c r="G159" s="132"/>
      <c r="H159" s="132"/>
      <c r="I159" s="133"/>
    </row>
    <row r="160" spans="2:9" ht="25.5">
      <c r="B160" s="110" t="s">
        <v>266</v>
      </c>
      <c r="C160" s="129" t="s">
        <v>186</v>
      </c>
      <c r="D160" s="130" t="s">
        <v>409</v>
      </c>
      <c r="E160" s="131" t="s">
        <v>275</v>
      </c>
      <c r="F160" s="14">
        <v>130</v>
      </c>
      <c r="G160" s="132"/>
      <c r="H160" s="132"/>
      <c r="I160" s="133">
        <f>ROUND(F160*H160,2)</f>
        <v>0</v>
      </c>
    </row>
    <row r="161" spans="2:9" ht="15">
      <c r="B161" s="110" t="s">
        <v>266</v>
      </c>
      <c r="C161" s="129" t="s">
        <v>243</v>
      </c>
      <c r="D161" s="130" t="s">
        <v>407</v>
      </c>
      <c r="E161" s="131" t="s">
        <v>275</v>
      </c>
      <c r="F161" s="14">
        <v>238</v>
      </c>
      <c r="G161" s="132"/>
      <c r="H161" s="132"/>
      <c r="I161" s="133">
        <f>ROUND(F161*H161,2)</f>
        <v>0</v>
      </c>
    </row>
    <row r="162" spans="2:9" ht="15">
      <c r="B162" s="110" t="s">
        <v>266</v>
      </c>
      <c r="C162" s="129" t="s">
        <v>256</v>
      </c>
      <c r="D162" s="130" t="s">
        <v>408</v>
      </c>
      <c r="E162" s="131" t="s">
        <v>275</v>
      </c>
      <c r="F162" s="14">
        <v>22</v>
      </c>
      <c r="G162" s="132"/>
      <c r="H162" s="132"/>
      <c r="I162" s="133">
        <f>ROUND(F162*H162,2)</f>
        <v>0</v>
      </c>
    </row>
    <row r="163" spans="2:9" ht="15">
      <c r="B163" s="110"/>
      <c r="C163" s="134"/>
      <c r="D163" s="134"/>
      <c r="E163" s="131"/>
      <c r="F163" s="14"/>
      <c r="G163" s="132"/>
      <c r="H163" s="132"/>
      <c r="I163" s="133"/>
    </row>
    <row r="164" spans="2:9" ht="20.25">
      <c r="B164" s="306"/>
      <c r="C164" s="294">
        <v>12</v>
      </c>
      <c r="D164" s="295" t="s">
        <v>85</v>
      </c>
      <c r="E164" s="296"/>
      <c r="F164" s="297"/>
      <c r="G164" s="298"/>
      <c r="H164" s="299"/>
      <c r="I164" s="307">
        <f>SUBTOTAL(9,I165:I170)</f>
        <v>0</v>
      </c>
    </row>
    <row r="165" spans="2:9" ht="15.75">
      <c r="B165" s="110"/>
      <c r="C165" s="135">
        <v>12.1</v>
      </c>
      <c r="D165" s="128" t="s">
        <v>306</v>
      </c>
      <c r="E165" s="131"/>
      <c r="F165" s="14"/>
      <c r="G165" s="132"/>
      <c r="H165" s="132"/>
      <c r="I165" s="133"/>
    </row>
    <row r="166" spans="2:9" ht="15">
      <c r="B166" s="110" t="s">
        <v>266</v>
      </c>
      <c r="C166" s="129" t="s">
        <v>161</v>
      </c>
      <c r="D166" s="130" t="s">
        <v>41</v>
      </c>
      <c r="E166" s="131" t="s">
        <v>276</v>
      </c>
      <c r="F166" s="14">
        <v>6386</v>
      </c>
      <c r="G166" s="132"/>
      <c r="H166" s="132"/>
      <c r="I166" s="133">
        <f>ROUND(F166*H166,2)</f>
        <v>0</v>
      </c>
    </row>
    <row r="167" spans="2:9" ht="15">
      <c r="B167" s="110" t="s">
        <v>266</v>
      </c>
      <c r="C167" s="129" t="s">
        <v>162</v>
      </c>
      <c r="D167" s="130" t="s">
        <v>86</v>
      </c>
      <c r="E167" s="131" t="s">
        <v>276</v>
      </c>
      <c r="F167" s="14">
        <v>6386</v>
      </c>
      <c r="G167" s="132"/>
      <c r="H167" s="132"/>
      <c r="I167" s="133">
        <f>ROUND(F167*H167,2)</f>
        <v>0</v>
      </c>
    </row>
    <row r="168" spans="2:9" ht="15">
      <c r="B168" s="110" t="s">
        <v>266</v>
      </c>
      <c r="C168" s="150" t="s">
        <v>254</v>
      </c>
      <c r="D168" s="130" t="s">
        <v>255</v>
      </c>
      <c r="E168" s="131" t="s">
        <v>276</v>
      </c>
      <c r="F168" s="14">
        <v>76.19399999999999</v>
      </c>
      <c r="G168" s="132"/>
      <c r="H168" s="132"/>
      <c r="I168" s="133">
        <f>ROUND(F168*H168,2)</f>
        <v>0</v>
      </c>
    </row>
    <row r="169" spans="2:9" ht="15.75">
      <c r="B169" s="110" t="s">
        <v>266</v>
      </c>
      <c r="C169" s="135">
        <v>12.2</v>
      </c>
      <c r="D169" s="128" t="s">
        <v>307</v>
      </c>
      <c r="E169" s="131"/>
      <c r="F169" s="14"/>
      <c r="G169" s="132"/>
      <c r="H169" s="132"/>
      <c r="I169" s="133"/>
    </row>
    <row r="170" spans="2:9" ht="15">
      <c r="B170" s="110" t="s">
        <v>266</v>
      </c>
      <c r="C170" s="129" t="s">
        <v>162</v>
      </c>
      <c r="D170" s="130" t="s">
        <v>86</v>
      </c>
      <c r="E170" s="131" t="s">
        <v>276</v>
      </c>
      <c r="F170" s="14">
        <v>1284</v>
      </c>
      <c r="G170" s="132"/>
      <c r="H170" s="132"/>
      <c r="I170" s="133">
        <f>ROUND(F170*H170,2)</f>
        <v>0</v>
      </c>
    </row>
    <row r="171" spans="2:9" ht="15">
      <c r="B171" s="110"/>
      <c r="C171" s="129"/>
      <c r="D171" s="130"/>
      <c r="E171" s="131"/>
      <c r="F171" s="14"/>
      <c r="G171" s="132"/>
      <c r="H171" s="132"/>
      <c r="I171" s="133"/>
    </row>
    <row r="172" spans="2:9" ht="20.25">
      <c r="B172" s="306"/>
      <c r="C172" s="294">
        <v>13</v>
      </c>
      <c r="D172" s="295" t="s">
        <v>400</v>
      </c>
      <c r="E172" s="296"/>
      <c r="F172" s="297"/>
      <c r="G172" s="298"/>
      <c r="H172" s="299"/>
      <c r="I172" s="307">
        <f>SUBTOTAL(9,I173:I203)</f>
        <v>0</v>
      </c>
    </row>
    <row r="173" spans="2:9" ht="15">
      <c r="B173" s="110" t="s">
        <v>266</v>
      </c>
      <c r="C173" s="129" t="s">
        <v>209</v>
      </c>
      <c r="D173" s="130" t="s">
        <v>210</v>
      </c>
      <c r="E173" s="131" t="s">
        <v>277</v>
      </c>
      <c r="F173" s="14">
        <v>210</v>
      </c>
      <c r="G173" s="132"/>
      <c r="H173" s="132"/>
      <c r="I173" s="133">
        <f aca="true" t="shared" si="5" ref="I173:I203">ROUND(F173*H173,2)</f>
        <v>0</v>
      </c>
    </row>
    <row r="174" spans="2:9" ht="15">
      <c r="B174" s="110" t="s">
        <v>266</v>
      </c>
      <c r="C174" s="129" t="s">
        <v>214</v>
      </c>
      <c r="D174" s="130" t="s">
        <v>259</v>
      </c>
      <c r="E174" s="131" t="s">
        <v>275</v>
      </c>
      <c r="F174" s="14">
        <v>3</v>
      </c>
      <c r="G174" s="132"/>
      <c r="H174" s="132"/>
      <c r="I174" s="133">
        <f t="shared" si="5"/>
        <v>0</v>
      </c>
    </row>
    <row r="175" spans="2:9" ht="15">
      <c r="B175" s="110" t="s">
        <v>266</v>
      </c>
      <c r="C175" s="129" t="s">
        <v>213</v>
      </c>
      <c r="D175" s="130" t="s">
        <v>23</v>
      </c>
      <c r="E175" s="131" t="s">
        <v>275</v>
      </c>
      <c r="F175" s="14">
        <v>6</v>
      </c>
      <c r="G175" s="132"/>
      <c r="H175" s="132"/>
      <c r="I175" s="133">
        <f t="shared" si="5"/>
        <v>0</v>
      </c>
    </row>
    <row r="176" spans="2:9" ht="15">
      <c r="B176" s="110" t="s">
        <v>266</v>
      </c>
      <c r="C176" s="129" t="s">
        <v>187</v>
      </c>
      <c r="D176" s="130" t="s">
        <v>30</v>
      </c>
      <c r="E176" s="131" t="s">
        <v>275</v>
      </c>
      <c r="F176" s="14">
        <v>10</v>
      </c>
      <c r="G176" s="132"/>
      <c r="H176" s="132"/>
      <c r="I176" s="133">
        <f t="shared" si="5"/>
        <v>0</v>
      </c>
    </row>
    <row r="177" spans="2:9" ht="15">
      <c r="B177" s="110" t="s">
        <v>266</v>
      </c>
      <c r="C177" s="129" t="s">
        <v>212</v>
      </c>
      <c r="D177" s="130" t="s">
        <v>22</v>
      </c>
      <c r="E177" s="131" t="s">
        <v>275</v>
      </c>
      <c r="F177" s="14">
        <v>15</v>
      </c>
      <c r="G177" s="132"/>
      <c r="H177" s="132"/>
      <c r="I177" s="133">
        <f t="shared" si="5"/>
        <v>0</v>
      </c>
    </row>
    <row r="178" spans="2:9" ht="15">
      <c r="B178" s="110" t="s">
        <v>266</v>
      </c>
      <c r="C178" s="129" t="s">
        <v>211</v>
      </c>
      <c r="D178" s="130" t="s">
        <v>21</v>
      </c>
      <c r="E178" s="131" t="s">
        <v>275</v>
      </c>
      <c r="F178" s="14">
        <v>6</v>
      </c>
      <c r="G178" s="132"/>
      <c r="H178" s="132"/>
      <c r="I178" s="133">
        <f t="shared" si="5"/>
        <v>0</v>
      </c>
    </row>
    <row r="179" spans="2:9" ht="15">
      <c r="B179" s="110" t="s">
        <v>266</v>
      </c>
      <c r="C179" s="129" t="s">
        <v>214</v>
      </c>
      <c r="D179" s="130" t="s">
        <v>259</v>
      </c>
      <c r="E179" s="131" t="s">
        <v>275</v>
      </c>
      <c r="F179" s="14">
        <v>20</v>
      </c>
      <c r="G179" s="132"/>
      <c r="H179" s="132"/>
      <c r="I179" s="133">
        <f t="shared" si="5"/>
        <v>0</v>
      </c>
    </row>
    <row r="180" spans="2:9" ht="15">
      <c r="B180" s="110" t="s">
        <v>266</v>
      </c>
      <c r="C180" s="129" t="s">
        <v>229</v>
      </c>
      <c r="D180" s="130" t="s">
        <v>16</v>
      </c>
      <c r="E180" s="131" t="s">
        <v>275</v>
      </c>
      <c r="F180" s="14">
        <v>1</v>
      </c>
      <c r="G180" s="132"/>
      <c r="H180" s="132"/>
      <c r="I180" s="133">
        <f t="shared" si="5"/>
        <v>0</v>
      </c>
    </row>
    <row r="181" spans="2:9" ht="15">
      <c r="B181" s="110" t="s">
        <v>266</v>
      </c>
      <c r="C181" s="129" t="s">
        <v>223</v>
      </c>
      <c r="D181" s="130" t="s">
        <v>12</v>
      </c>
      <c r="E181" s="131" t="s">
        <v>275</v>
      </c>
      <c r="F181" s="14">
        <v>10</v>
      </c>
      <c r="G181" s="132"/>
      <c r="H181" s="132"/>
      <c r="I181" s="133">
        <f t="shared" si="5"/>
        <v>0</v>
      </c>
    </row>
    <row r="182" spans="2:9" ht="15">
      <c r="B182" s="110" t="s">
        <v>266</v>
      </c>
      <c r="C182" s="129" t="s">
        <v>230</v>
      </c>
      <c r="D182" s="130" t="s">
        <v>231</v>
      </c>
      <c r="E182" s="131" t="s">
        <v>275</v>
      </c>
      <c r="F182" s="14">
        <v>42</v>
      </c>
      <c r="G182" s="132"/>
      <c r="H182" s="132"/>
      <c r="I182" s="133">
        <f t="shared" si="5"/>
        <v>0</v>
      </c>
    </row>
    <row r="183" spans="2:9" ht="15">
      <c r="B183" s="110" t="s">
        <v>266</v>
      </c>
      <c r="C183" s="129" t="s">
        <v>228</v>
      </c>
      <c r="D183" s="130" t="s">
        <v>15</v>
      </c>
      <c r="E183" s="131" t="s">
        <v>275</v>
      </c>
      <c r="F183" s="14">
        <v>6</v>
      </c>
      <c r="G183" s="132"/>
      <c r="H183" s="132"/>
      <c r="I183" s="133">
        <f t="shared" si="5"/>
        <v>0</v>
      </c>
    </row>
    <row r="184" spans="2:9" ht="15">
      <c r="B184" s="110" t="s">
        <v>266</v>
      </c>
      <c r="C184" s="129" t="s">
        <v>189</v>
      </c>
      <c r="D184" s="130" t="s">
        <v>190</v>
      </c>
      <c r="E184" s="131" t="s">
        <v>275</v>
      </c>
      <c r="F184" s="14">
        <v>1</v>
      </c>
      <c r="G184" s="132"/>
      <c r="H184" s="132"/>
      <c r="I184" s="133">
        <f t="shared" si="5"/>
        <v>0</v>
      </c>
    </row>
    <row r="185" spans="2:9" ht="15">
      <c r="B185" s="110" t="s">
        <v>266</v>
      </c>
      <c r="C185" s="129" t="s">
        <v>191</v>
      </c>
      <c r="D185" s="130" t="s">
        <v>192</v>
      </c>
      <c r="E185" s="131" t="s">
        <v>275</v>
      </c>
      <c r="F185" s="14">
        <v>1</v>
      </c>
      <c r="G185" s="132"/>
      <c r="H185" s="132"/>
      <c r="I185" s="133">
        <f t="shared" si="5"/>
        <v>0</v>
      </c>
    </row>
    <row r="186" spans="2:9" ht="15">
      <c r="B186" s="110" t="s">
        <v>266</v>
      </c>
      <c r="C186" s="129" t="s">
        <v>217</v>
      </c>
      <c r="D186" s="130" t="s">
        <v>26</v>
      </c>
      <c r="E186" s="131" t="s">
        <v>275</v>
      </c>
      <c r="F186" s="14">
        <v>3</v>
      </c>
      <c r="G186" s="132"/>
      <c r="H186" s="132"/>
      <c r="I186" s="133">
        <f t="shared" si="5"/>
        <v>0</v>
      </c>
    </row>
    <row r="187" spans="2:9" ht="15">
      <c r="B187" s="110" t="s">
        <v>266</v>
      </c>
      <c r="C187" s="129" t="s">
        <v>219</v>
      </c>
      <c r="D187" s="130" t="s">
        <v>28</v>
      </c>
      <c r="E187" s="131" t="s">
        <v>275</v>
      </c>
      <c r="F187" s="14">
        <v>1</v>
      </c>
      <c r="G187" s="132"/>
      <c r="H187" s="132"/>
      <c r="I187" s="133">
        <f t="shared" si="5"/>
        <v>0</v>
      </c>
    </row>
    <row r="188" spans="2:9" ht="15">
      <c r="B188" s="110" t="s">
        <v>266</v>
      </c>
      <c r="C188" s="129" t="s">
        <v>164</v>
      </c>
      <c r="D188" s="130" t="s">
        <v>42</v>
      </c>
      <c r="E188" s="131" t="s">
        <v>275</v>
      </c>
      <c r="F188" s="14">
        <v>1</v>
      </c>
      <c r="G188" s="132"/>
      <c r="H188" s="132"/>
      <c r="I188" s="133">
        <f t="shared" si="5"/>
        <v>0</v>
      </c>
    </row>
    <row r="189" spans="2:9" ht="15">
      <c r="B189" s="110" t="s">
        <v>266</v>
      </c>
      <c r="C189" s="129" t="s">
        <v>178</v>
      </c>
      <c r="D189" s="130" t="s">
        <v>179</v>
      </c>
      <c r="E189" s="131" t="s">
        <v>277</v>
      </c>
      <c r="F189" s="14">
        <v>300</v>
      </c>
      <c r="G189" s="132"/>
      <c r="H189" s="132"/>
      <c r="I189" s="133">
        <f t="shared" si="5"/>
        <v>0</v>
      </c>
    </row>
    <row r="190" spans="2:9" ht="15">
      <c r="B190" s="110" t="s">
        <v>266</v>
      </c>
      <c r="C190" s="129" t="s">
        <v>232</v>
      </c>
      <c r="D190" s="130" t="s">
        <v>17</v>
      </c>
      <c r="E190" s="131" t="s">
        <v>275</v>
      </c>
      <c r="F190" s="14">
        <v>8</v>
      </c>
      <c r="G190" s="132"/>
      <c r="H190" s="132"/>
      <c r="I190" s="133">
        <f t="shared" si="5"/>
        <v>0</v>
      </c>
    </row>
    <row r="191" spans="2:9" ht="15">
      <c r="B191" s="110" t="s">
        <v>266</v>
      </c>
      <c r="C191" s="129" t="s">
        <v>233</v>
      </c>
      <c r="D191" s="130" t="s">
        <v>18</v>
      </c>
      <c r="E191" s="131" t="s">
        <v>275</v>
      </c>
      <c r="F191" s="14">
        <v>5</v>
      </c>
      <c r="G191" s="132"/>
      <c r="H191" s="132"/>
      <c r="I191" s="133">
        <f t="shared" si="5"/>
        <v>0</v>
      </c>
    </row>
    <row r="192" spans="2:9" ht="15">
      <c r="B192" s="110" t="s">
        <v>266</v>
      </c>
      <c r="C192" s="129" t="s">
        <v>222</v>
      </c>
      <c r="D192" s="130" t="s">
        <v>244</v>
      </c>
      <c r="E192" s="131" t="s">
        <v>275</v>
      </c>
      <c r="F192" s="14">
        <v>1</v>
      </c>
      <c r="G192" s="132"/>
      <c r="H192" s="132"/>
      <c r="I192" s="133">
        <f t="shared" si="5"/>
        <v>0</v>
      </c>
    </row>
    <row r="193" spans="2:9" ht="15">
      <c r="B193" s="110" t="s">
        <v>266</v>
      </c>
      <c r="C193" s="129" t="s">
        <v>220</v>
      </c>
      <c r="D193" s="130" t="s">
        <v>29</v>
      </c>
      <c r="E193" s="131" t="s">
        <v>275</v>
      </c>
      <c r="F193" s="14">
        <v>4</v>
      </c>
      <c r="G193" s="132"/>
      <c r="H193" s="132"/>
      <c r="I193" s="133">
        <f t="shared" si="5"/>
        <v>0</v>
      </c>
    </row>
    <row r="194" spans="2:9" ht="15">
      <c r="B194" s="110" t="s">
        <v>266</v>
      </c>
      <c r="C194" s="129" t="s">
        <v>225</v>
      </c>
      <c r="D194" s="130" t="s">
        <v>13</v>
      </c>
      <c r="E194" s="131" t="s">
        <v>275</v>
      </c>
      <c r="F194" s="14">
        <v>3</v>
      </c>
      <c r="G194" s="132"/>
      <c r="H194" s="132"/>
      <c r="I194" s="133">
        <f t="shared" si="5"/>
        <v>0</v>
      </c>
    </row>
    <row r="195" spans="2:9" ht="15">
      <c r="B195" s="110" t="s">
        <v>266</v>
      </c>
      <c r="C195" s="129" t="s">
        <v>224</v>
      </c>
      <c r="D195" s="130" t="s">
        <v>245</v>
      </c>
      <c r="E195" s="131" t="s">
        <v>275</v>
      </c>
      <c r="F195" s="14">
        <v>3</v>
      </c>
      <c r="G195" s="132"/>
      <c r="H195" s="132"/>
      <c r="I195" s="133">
        <f t="shared" si="5"/>
        <v>0</v>
      </c>
    </row>
    <row r="196" spans="2:9" ht="15">
      <c r="B196" s="110" t="s">
        <v>266</v>
      </c>
      <c r="C196" s="129" t="s">
        <v>226</v>
      </c>
      <c r="D196" s="130" t="s">
        <v>14</v>
      </c>
      <c r="E196" s="131" t="s">
        <v>275</v>
      </c>
      <c r="F196" s="14">
        <v>1</v>
      </c>
      <c r="G196" s="132"/>
      <c r="H196" s="132"/>
      <c r="I196" s="133">
        <f t="shared" si="5"/>
        <v>0</v>
      </c>
    </row>
    <row r="197" spans="2:9" ht="15">
      <c r="B197" s="110" t="s">
        <v>266</v>
      </c>
      <c r="C197" s="129" t="s">
        <v>227</v>
      </c>
      <c r="D197" s="130" t="s">
        <v>2</v>
      </c>
      <c r="E197" s="131" t="s">
        <v>275</v>
      </c>
      <c r="F197" s="14">
        <v>3</v>
      </c>
      <c r="G197" s="132"/>
      <c r="H197" s="132"/>
      <c r="I197" s="133">
        <f t="shared" si="5"/>
        <v>0</v>
      </c>
    </row>
    <row r="198" spans="2:9" ht="25.5">
      <c r="B198" s="110" t="s">
        <v>266</v>
      </c>
      <c r="C198" s="129" t="s">
        <v>236</v>
      </c>
      <c r="D198" s="130" t="s">
        <v>260</v>
      </c>
      <c r="E198" s="131" t="s">
        <v>275</v>
      </c>
      <c r="F198" s="14">
        <v>34</v>
      </c>
      <c r="G198" s="132"/>
      <c r="H198" s="132"/>
      <c r="I198" s="133">
        <f t="shared" si="5"/>
        <v>0</v>
      </c>
    </row>
    <row r="199" spans="2:9" ht="25.5">
      <c r="B199" s="110" t="s">
        <v>266</v>
      </c>
      <c r="C199" s="129" t="s">
        <v>176</v>
      </c>
      <c r="D199" s="130" t="s">
        <v>177</v>
      </c>
      <c r="E199" s="131" t="s">
        <v>277</v>
      </c>
      <c r="F199" s="14">
        <v>250</v>
      </c>
      <c r="G199" s="132"/>
      <c r="H199" s="132"/>
      <c r="I199" s="133">
        <f t="shared" si="5"/>
        <v>0</v>
      </c>
    </row>
    <row r="200" spans="2:9" ht="15">
      <c r="B200" s="110" t="s">
        <v>266</v>
      </c>
      <c r="C200" s="129" t="s">
        <v>207</v>
      </c>
      <c r="D200" s="130" t="s">
        <v>208</v>
      </c>
      <c r="E200" s="131" t="s">
        <v>277</v>
      </c>
      <c r="F200" s="14">
        <v>420</v>
      </c>
      <c r="G200" s="132"/>
      <c r="H200" s="132"/>
      <c r="I200" s="133">
        <f t="shared" si="5"/>
        <v>0</v>
      </c>
    </row>
    <row r="201" spans="2:9" ht="15">
      <c r="B201" s="110" t="s">
        <v>266</v>
      </c>
      <c r="C201" s="129" t="s">
        <v>185</v>
      </c>
      <c r="D201" s="130" t="s">
        <v>39</v>
      </c>
      <c r="E201" s="131" t="s">
        <v>279</v>
      </c>
      <c r="F201" s="14">
        <v>80</v>
      </c>
      <c r="G201" s="132"/>
      <c r="H201" s="132"/>
      <c r="I201" s="133">
        <f t="shared" si="5"/>
        <v>0</v>
      </c>
    </row>
    <row r="202" spans="2:9" ht="15">
      <c r="B202" s="110" t="s">
        <v>266</v>
      </c>
      <c r="C202" s="129" t="s">
        <v>169</v>
      </c>
      <c r="D202" s="130" t="s">
        <v>35</v>
      </c>
      <c r="E202" s="131" t="s">
        <v>277</v>
      </c>
      <c r="F202" s="14">
        <v>1400</v>
      </c>
      <c r="G202" s="132"/>
      <c r="H202" s="132"/>
      <c r="I202" s="133">
        <f t="shared" si="5"/>
        <v>0</v>
      </c>
    </row>
    <row r="203" spans="2:9" ht="15">
      <c r="B203" s="110" t="s">
        <v>266</v>
      </c>
      <c r="C203" s="129" t="s">
        <v>182</v>
      </c>
      <c r="D203" s="130" t="s">
        <v>0</v>
      </c>
      <c r="E203" s="131" t="s">
        <v>279</v>
      </c>
      <c r="F203" s="14">
        <v>38</v>
      </c>
      <c r="G203" s="132"/>
      <c r="H203" s="132"/>
      <c r="I203" s="133">
        <f t="shared" si="5"/>
        <v>0</v>
      </c>
    </row>
    <row r="204" spans="2:9" ht="15">
      <c r="B204" s="110"/>
      <c r="C204" s="129"/>
      <c r="D204" s="130"/>
      <c r="E204" s="131"/>
      <c r="F204" s="14"/>
      <c r="G204" s="132"/>
      <c r="H204" s="132"/>
      <c r="I204" s="133"/>
    </row>
    <row r="205" spans="2:9" ht="20.25">
      <c r="B205" s="306"/>
      <c r="C205" s="294">
        <v>14</v>
      </c>
      <c r="D205" s="295" t="s">
        <v>411</v>
      </c>
      <c r="E205" s="296"/>
      <c r="F205" s="297"/>
      <c r="G205" s="298"/>
      <c r="H205" s="299"/>
      <c r="I205" s="307">
        <f>SUBTOTAL(9,I206:I206)</f>
        <v>0</v>
      </c>
    </row>
    <row r="206" spans="2:9" ht="15">
      <c r="B206" s="110" t="s">
        <v>266</v>
      </c>
      <c r="C206" s="129" t="s">
        <v>234</v>
      </c>
      <c r="D206" s="130" t="s">
        <v>19</v>
      </c>
      <c r="E206" s="131" t="s">
        <v>276</v>
      </c>
      <c r="F206" s="14">
        <v>2157</v>
      </c>
      <c r="G206" s="132"/>
      <c r="H206" s="132"/>
      <c r="I206" s="133">
        <f>ROUND(F206*H206,2)</f>
        <v>0</v>
      </c>
    </row>
    <row r="207" spans="2:9" ht="15">
      <c r="B207" s="110"/>
      <c r="C207" s="129"/>
      <c r="D207" s="130"/>
      <c r="E207" s="131"/>
      <c r="F207" s="14"/>
      <c r="G207" s="132"/>
      <c r="H207" s="132"/>
      <c r="I207" s="133"/>
    </row>
    <row r="208" spans="2:9" ht="20.25">
      <c r="B208" s="306"/>
      <c r="C208" s="294">
        <v>15</v>
      </c>
      <c r="D208" s="295" t="s">
        <v>412</v>
      </c>
      <c r="E208" s="296"/>
      <c r="F208" s="297"/>
      <c r="G208" s="298"/>
      <c r="H208" s="299"/>
      <c r="I208" s="307">
        <f>SUBTOTAL(9,I209:I209)</f>
        <v>0</v>
      </c>
    </row>
    <row r="209" spans="2:9" ht="39" thickBot="1">
      <c r="B209" s="111"/>
      <c r="C209" s="137" t="s">
        <v>424</v>
      </c>
      <c r="D209" s="238" t="s">
        <v>413</v>
      </c>
      <c r="E209" s="138" t="s">
        <v>414</v>
      </c>
      <c r="F209" s="38">
        <v>1</v>
      </c>
      <c r="G209" s="139"/>
      <c r="H209" s="139"/>
      <c r="I209" s="140">
        <f>ROUND(F209*H209,2)</f>
        <v>0</v>
      </c>
    </row>
    <row r="210" spans="2:9" ht="15.75" thickBot="1">
      <c r="B210" s="291"/>
      <c r="C210" s="290"/>
      <c r="D210" s="208"/>
      <c r="E210" s="207"/>
      <c r="F210" s="206"/>
      <c r="G210" s="288"/>
      <c r="H210" s="288"/>
      <c r="I210" s="289"/>
    </row>
    <row r="211" spans="2:9" ht="24" thickBot="1">
      <c r="B211" s="151"/>
      <c r="C211" s="344" t="s">
        <v>3</v>
      </c>
      <c r="D211" s="344"/>
      <c r="E211" s="308"/>
      <c r="F211" s="152"/>
      <c r="G211" s="152"/>
      <c r="H211" s="345">
        <f>SUBTOTAL(9,I7:I210)</f>
        <v>0</v>
      </c>
      <c r="I211" s="346"/>
    </row>
    <row r="212" spans="3:9" ht="15">
      <c r="C212" s="18"/>
      <c r="D212" s="18"/>
      <c r="E212" s="153"/>
      <c r="F212" s="18"/>
      <c r="G212" s="18"/>
      <c r="H212" s="13"/>
      <c r="I212" s="13"/>
    </row>
    <row r="213" spans="8:9" ht="15">
      <c r="H213" s="144"/>
      <c r="I213" s="144"/>
    </row>
    <row r="214" spans="1:12" ht="20.25">
      <c r="A214" s="25"/>
      <c r="B214" s="25"/>
      <c r="C214" s="25"/>
      <c r="D214" s="155"/>
      <c r="E214" s="156"/>
      <c r="F214" s="34"/>
      <c r="G214" s="34"/>
      <c r="H214" s="34"/>
      <c r="I214" s="154"/>
      <c r="J214" s="25"/>
      <c r="K214" s="25"/>
      <c r="L214" s="157"/>
    </row>
    <row r="218" ht="15">
      <c r="K218" s="205"/>
    </row>
    <row r="219" spans="2:9" ht="15" customHeight="1">
      <c r="B219" s="300"/>
      <c r="C219" s="192"/>
      <c r="D219" s="192"/>
      <c r="E219" s="192"/>
      <c r="F219" s="192"/>
      <c r="G219" s="192"/>
      <c r="H219" s="192"/>
      <c r="I219" s="192"/>
    </row>
    <row r="220" spans="2:10" ht="15" customHeight="1">
      <c r="B220" s="343"/>
      <c r="C220" s="343"/>
      <c r="D220" s="343"/>
      <c r="E220" s="343"/>
      <c r="F220" s="343"/>
      <c r="G220" s="343"/>
      <c r="H220" s="343"/>
      <c r="I220" s="343"/>
      <c r="J220" s="192"/>
    </row>
    <row r="221" spans="2:9" ht="15" customHeight="1">
      <c r="B221" s="343"/>
      <c r="C221" s="343"/>
      <c r="D221" s="343"/>
      <c r="E221" s="343"/>
      <c r="F221" s="343"/>
      <c r="G221" s="343"/>
      <c r="H221" s="343"/>
      <c r="I221" s="343"/>
    </row>
    <row r="222" spans="2:9" ht="15" customHeight="1">
      <c r="B222" s="343"/>
      <c r="C222" s="343"/>
      <c r="D222" s="343"/>
      <c r="E222" s="343"/>
      <c r="F222" s="343"/>
      <c r="G222" s="343"/>
      <c r="H222" s="343"/>
      <c r="I222" s="343"/>
    </row>
  </sheetData>
  <sheetProtection/>
  <mergeCells count="6">
    <mergeCell ref="B1:I1"/>
    <mergeCell ref="B221:I221"/>
    <mergeCell ref="B222:I222"/>
    <mergeCell ref="B220:I220"/>
    <mergeCell ref="C211:D211"/>
    <mergeCell ref="H211:I211"/>
  </mergeCells>
  <conditionalFormatting sqref="C141">
    <cfRule type="expression" priority="1" dxfId="0" stopIfTrue="1">
      <formula>I141&lt;6</formula>
    </cfRule>
  </conditionalFormatting>
  <printOptions/>
  <pageMargins left="0.7874015748031497" right="0.11811023622047245" top="1.0416666666666667" bottom="0.5905511811023623" header="0.31496062992125984" footer="0.31496062992125984"/>
  <pageSetup horizontalDpi="600" verticalDpi="600" orientation="portrait" paperSize="9" scale="50" r:id="rId2"/>
  <headerFooter>
    <oddHeader>&amp;C&amp;G</oddHeader>
    <oddFooter>&amp;LCoordenadoria Geral de Administração   CGA|GTE
Av. Dr. Enéas de Carvalho Aguiar, 188 | CEP 05403-000 |São Paulo - SP | Telefone: (11) 3066-8664&amp;RPágina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27" sqref="C27"/>
    </sheetView>
  </sheetViews>
  <sheetFormatPr defaultColWidth="9.140625" defaultRowHeight="12.75"/>
  <cols>
    <col min="1" max="1" width="0.9921875" style="309" customWidth="1"/>
    <col min="2" max="2" width="9.7109375" style="309" bestFit="1" customWidth="1"/>
    <col min="3" max="3" width="75.7109375" style="309" customWidth="1"/>
    <col min="4" max="4" width="43.140625" style="309" customWidth="1"/>
    <col min="5" max="16384" width="9.140625" style="309" customWidth="1"/>
  </cols>
  <sheetData>
    <row r="1" spans="1:4" ht="12.75">
      <c r="A1" s="314"/>
      <c r="B1" s="314"/>
      <c r="C1" s="314"/>
      <c r="D1" s="314"/>
    </row>
    <row r="2" spans="1:6" s="311" customFormat="1" ht="12.75">
      <c r="A2" s="330"/>
      <c r="B2" s="347" t="s">
        <v>428</v>
      </c>
      <c r="C2" s="347"/>
      <c r="D2" s="347"/>
      <c r="E2" s="330"/>
      <c r="F2" s="310"/>
    </row>
    <row r="3" spans="1:6" ht="15">
      <c r="A3" s="312"/>
      <c r="B3" s="317" t="s">
        <v>415</v>
      </c>
      <c r="C3" s="315" t="s">
        <v>422</v>
      </c>
      <c r="D3" s="316"/>
      <c r="E3" s="313"/>
      <c r="F3" s="314"/>
    </row>
    <row r="4" spans="1:6" ht="15">
      <c r="A4" s="312"/>
      <c r="B4" s="317" t="s">
        <v>416</v>
      </c>
      <c r="C4" s="315" t="s">
        <v>399</v>
      </c>
      <c r="D4" s="315"/>
      <c r="E4" s="319"/>
      <c r="F4" s="314"/>
    </row>
    <row r="5" spans="1:6" ht="15">
      <c r="A5" s="312"/>
      <c r="B5" s="317"/>
      <c r="C5" s="318"/>
      <c r="D5" s="317"/>
      <c r="E5" s="319"/>
      <c r="F5" s="314"/>
    </row>
    <row r="6" spans="1:4" ht="12.75">
      <c r="A6" s="314"/>
      <c r="B6" s="331" t="s">
        <v>66</v>
      </c>
      <c r="C6" s="332" t="s">
        <v>67</v>
      </c>
      <c r="D6" s="333" t="s">
        <v>362</v>
      </c>
    </row>
    <row r="7" spans="1:4" ht="14.25">
      <c r="A7" s="314"/>
      <c r="B7" s="334">
        <v>1</v>
      </c>
      <c r="C7" s="335" t="str">
        <f>VLOOKUP(B7,'PLANILHA '!$C$7:$I$209,2,FALSE)</f>
        <v>SERVIÇOS PRELIMINARES</v>
      </c>
      <c r="D7" s="336">
        <f>VLOOKUP(B7,'PLANILHA '!$C$7:$I$209,7,FALSE)</f>
        <v>0</v>
      </c>
    </row>
    <row r="8" spans="1:4" ht="14.25">
      <c r="A8" s="314"/>
      <c r="B8" s="334">
        <f>B7+1</f>
        <v>2</v>
      </c>
      <c r="C8" s="335" t="str">
        <f>VLOOKUP(B8,'PLANILHA '!$C$7:$I$209,2,FALSE)</f>
        <v>DEMOLIÇÃO</v>
      </c>
      <c r="D8" s="336">
        <f>VLOOKUP(B8,'PLANILHA '!$C$7:$I$209,7,FALSE)</f>
        <v>0</v>
      </c>
    </row>
    <row r="9" spans="2:4" ht="14.25">
      <c r="B9" s="334">
        <f aca="true" t="shared" si="0" ref="B9:B21">B8+1</f>
        <v>3</v>
      </c>
      <c r="C9" s="335" t="str">
        <f>VLOOKUP(B9,'PLANILHA '!$C$7:$I$209,2,FALSE)</f>
        <v>FUNDAÇÃO</v>
      </c>
      <c r="D9" s="336">
        <f>VLOOKUP(B9,'PLANILHA '!$C$7:$I$209,7,FALSE)</f>
        <v>0</v>
      </c>
    </row>
    <row r="10" spans="2:4" ht="14.25">
      <c r="B10" s="334">
        <f t="shared" si="0"/>
        <v>4</v>
      </c>
      <c r="C10" s="335" t="str">
        <f>VLOOKUP(B10,'PLANILHA '!$C$7:$I$209,2,FALSE)</f>
        <v>ESTRUTURA</v>
      </c>
      <c r="D10" s="336">
        <f>VLOOKUP(B10,'PLANILHA '!$C$7:$I$209,7,FALSE)</f>
        <v>0</v>
      </c>
    </row>
    <row r="11" spans="2:4" ht="14.25">
      <c r="B11" s="334">
        <f t="shared" si="0"/>
        <v>5</v>
      </c>
      <c r="C11" s="335" t="str">
        <f>VLOOKUP(B11,'PLANILHA '!$C$7:$I$209,2,FALSE)</f>
        <v>ALVENARIA </v>
      </c>
      <c r="D11" s="336">
        <f>VLOOKUP(B11,'PLANILHA '!$C$7:$I$209,7,FALSE)</f>
        <v>0</v>
      </c>
    </row>
    <row r="12" spans="2:4" ht="14.25">
      <c r="B12" s="334">
        <f t="shared" si="0"/>
        <v>6</v>
      </c>
      <c r="C12" s="335" t="str">
        <f>VLOOKUP(B12,'PLANILHA '!$C$7:$I$209,2,FALSE)</f>
        <v>FORRO</v>
      </c>
      <c r="D12" s="336">
        <f>VLOOKUP(B12,'PLANILHA '!$C$7:$I$209,7,FALSE)</f>
        <v>0</v>
      </c>
    </row>
    <row r="13" spans="2:4" ht="14.25">
      <c r="B13" s="334">
        <f t="shared" si="0"/>
        <v>7</v>
      </c>
      <c r="C13" s="335" t="str">
        <f>VLOOKUP(B13,'PLANILHA '!$C$7:$I$209,2,FALSE)</f>
        <v>ESQUADRIAS</v>
      </c>
      <c r="D13" s="336">
        <f>VLOOKUP(B13,'PLANILHA '!$C$7:$I$209,7,FALSE)</f>
        <v>0</v>
      </c>
    </row>
    <row r="14" spans="2:4" ht="14.25">
      <c r="B14" s="334">
        <f t="shared" si="0"/>
        <v>8</v>
      </c>
      <c r="C14" s="335" t="str">
        <f>VLOOKUP(B14,'PLANILHA '!$C$7:$I$209,2,FALSE)</f>
        <v>REVESTIMENTO</v>
      </c>
      <c r="D14" s="336">
        <f>VLOOKUP(B14,'PLANILHA '!$C$7:$I$209,7,FALSE)</f>
        <v>0</v>
      </c>
    </row>
    <row r="15" spans="2:4" ht="14.25">
      <c r="B15" s="334">
        <f t="shared" si="0"/>
        <v>9</v>
      </c>
      <c r="C15" s="335" t="str">
        <f>VLOOKUP(B15,'PLANILHA '!$C$7:$I$209,2,FALSE)</f>
        <v>PISO</v>
      </c>
      <c r="D15" s="336">
        <f>VLOOKUP(B15,'PLANILHA '!$C$7:$I$209,7,FALSE)</f>
        <v>0</v>
      </c>
    </row>
    <row r="16" spans="2:4" ht="14.25">
      <c r="B16" s="334">
        <f t="shared" si="0"/>
        <v>10</v>
      </c>
      <c r="C16" s="335" t="str">
        <f>VLOOKUP(B16,'PLANILHA '!$C$7:$I$209,2,FALSE)</f>
        <v>INSTALAÇÕES HIDRAULICA,  LOUÇAS E METAIS</v>
      </c>
      <c r="D16" s="336">
        <f>VLOOKUP(B16,'PLANILHA '!$C$7:$I$209,7,FALSE)</f>
        <v>0</v>
      </c>
    </row>
    <row r="17" spans="2:4" ht="14.25">
      <c r="B17" s="334">
        <f t="shared" si="0"/>
        <v>11</v>
      </c>
      <c r="C17" s="335" t="str">
        <f>VLOOKUP(B17,'PLANILHA '!$C$7:$I$209,2,FALSE)</f>
        <v>INSTALAÇÕES ELETRICAS</v>
      </c>
      <c r="D17" s="336">
        <f>VLOOKUP(B17,'PLANILHA '!$C$7:$I$209,7,FALSE)</f>
        <v>0</v>
      </c>
    </row>
    <row r="18" spans="2:4" ht="14.25">
      <c r="B18" s="334">
        <f t="shared" si="0"/>
        <v>12</v>
      </c>
      <c r="C18" s="335" t="str">
        <f>VLOOKUP(B18,'PLANILHA '!$C$7:$I$209,2,FALSE)</f>
        <v>PINTURA</v>
      </c>
      <c r="D18" s="336">
        <f>VLOOKUP(B18,'PLANILHA '!$C$7:$I$209,7,FALSE)</f>
        <v>0</v>
      </c>
    </row>
    <row r="19" spans="2:4" ht="14.25">
      <c r="B19" s="334">
        <f t="shared" si="0"/>
        <v>13</v>
      </c>
      <c r="C19" s="335" t="str">
        <f>VLOOKUP(B19,'PLANILHA '!$C$7:$I$209,2,FALSE)</f>
        <v>SISTEMA DE COMBATE A INCÊNDIO</v>
      </c>
      <c r="D19" s="336">
        <f>VLOOKUP(B19,'PLANILHA '!$C$7:$I$209,7,FALSE)</f>
        <v>0</v>
      </c>
    </row>
    <row r="20" spans="2:4" ht="14.25">
      <c r="B20" s="334">
        <f t="shared" si="0"/>
        <v>14</v>
      </c>
      <c r="C20" s="335" t="str">
        <f>VLOOKUP(B20,'PLANILHA '!$C$7:$I$209,2,FALSE)</f>
        <v>Limpeza final de obra</v>
      </c>
      <c r="D20" s="336">
        <f>VLOOKUP(B20,'PLANILHA '!$C$7:$I$209,7,FALSE)</f>
        <v>0</v>
      </c>
    </row>
    <row r="21" spans="2:4" ht="14.25">
      <c r="B21" s="334">
        <f t="shared" si="0"/>
        <v>15</v>
      </c>
      <c r="C21" s="335" t="str">
        <f>VLOOKUP(B21,'PLANILHA '!$C$7:$I$209,2,FALSE)</f>
        <v>Administração local, mobilização e desmobilização</v>
      </c>
      <c r="D21" s="336">
        <f>VLOOKUP(B21,'PLANILHA '!$C$7:$I$209,7,FALSE)</f>
        <v>0</v>
      </c>
    </row>
    <row r="22" spans="2:4" ht="14.25">
      <c r="B22" s="320"/>
      <c r="C22" s="321"/>
      <c r="D22" s="321"/>
    </row>
    <row r="23" spans="2:4" ht="14.25">
      <c r="B23" s="337"/>
      <c r="C23" s="338" t="s">
        <v>61</v>
      </c>
      <c r="D23" s="339">
        <f>SUM(D7:D21)</f>
        <v>0</v>
      </c>
    </row>
    <row r="24" spans="2:4" ht="14.25">
      <c r="B24" s="320"/>
      <c r="C24" s="321"/>
      <c r="D24" s="322"/>
    </row>
    <row r="25" spans="2:4" ht="14.25">
      <c r="B25" s="320"/>
      <c r="C25" s="321"/>
      <c r="D25" s="321"/>
    </row>
    <row r="26" spans="2:4" ht="14.25">
      <c r="B26" s="323"/>
      <c r="C26" s="324"/>
      <c r="D26" s="324"/>
    </row>
    <row r="27" spans="2:4" ht="14.25">
      <c r="B27" s="320"/>
      <c r="C27" s="321"/>
      <c r="D27" s="322"/>
    </row>
    <row r="28" spans="2:4" ht="14.25">
      <c r="B28" s="320"/>
      <c r="C28" s="321"/>
      <c r="D28" s="321"/>
    </row>
    <row r="29" spans="2:4" ht="12.75">
      <c r="B29" s="311"/>
      <c r="C29" s="311"/>
      <c r="D29" s="311"/>
    </row>
    <row r="30" spans="1:4" ht="12.75" customHeight="1">
      <c r="A30" s="314"/>
      <c r="B30" s="325"/>
      <c r="C30" s="325"/>
      <c r="D30" s="325"/>
    </row>
    <row r="31" spans="1:4" ht="15" customHeight="1">
      <c r="A31" s="314"/>
      <c r="B31" s="326"/>
      <c r="C31" s="326"/>
      <c r="D31" s="326"/>
    </row>
    <row r="32" spans="1:4" ht="15" customHeight="1">
      <c r="A32" s="314"/>
      <c r="B32" s="326"/>
      <c r="C32" s="326"/>
      <c r="D32" s="326"/>
    </row>
    <row r="33" spans="1:4" ht="15" customHeight="1">
      <c r="A33" s="314"/>
      <c r="B33" s="326"/>
      <c r="C33" s="326"/>
      <c r="D33" s="326"/>
    </row>
    <row r="34" spans="1:4" ht="14.25">
      <c r="A34" s="314"/>
      <c r="B34" s="327"/>
      <c r="C34" s="328"/>
      <c r="D34" s="329"/>
    </row>
  </sheetData>
  <sheetProtection/>
  <mergeCells count="1">
    <mergeCell ref="B2:D2"/>
  </mergeCells>
  <printOptions/>
  <pageMargins left="0.5118110236220472" right="0.5118110236220472" top="1.3125" bottom="0.7874015748031497" header="0.31496062992125984" footer="0.31496062992125984"/>
  <pageSetup horizontalDpi="600" verticalDpi="600" orientation="portrait" paperSize="9" scale="70" r:id="rId2"/>
  <headerFooter>
    <oddHeader>&amp;C&amp;G</oddHeader>
    <oddFooter>&amp;LCoordenadoria Geral de Administração   CGA|GTE
Av. Dr. Enéas de Carvalho Aguiar, 188 | CEP 05403-000 |São Paulo - SP | Telefone: (11) 3066-8664&amp;RPágina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C195"/>
  <sheetViews>
    <sheetView zoomScalePageLayoutView="0" workbookViewId="0" topLeftCell="A1">
      <selection activeCell="F74" sqref="F74"/>
    </sheetView>
  </sheetViews>
  <sheetFormatPr defaultColWidth="12.57421875" defaultRowHeight="12.75"/>
  <cols>
    <col min="1" max="1" width="12.57421875" style="2" customWidth="1"/>
    <col min="2" max="2" width="2.7109375" style="39" customWidth="1"/>
    <col min="3" max="3" width="3.140625" style="39" customWidth="1"/>
    <col min="4" max="4" width="12.421875" style="2" customWidth="1"/>
    <col min="5" max="8" width="21.7109375" style="2" customWidth="1"/>
    <col min="9" max="9" width="3.140625" style="2" customWidth="1"/>
    <col min="10" max="10" width="2.7109375" style="2" customWidth="1"/>
    <col min="11" max="16" width="12.57421875" style="2" customWidth="1"/>
    <col min="17" max="17" width="12.8515625" style="2" bestFit="1" customWidth="1"/>
    <col min="18" max="16384" width="12.57421875" style="2" customWidth="1"/>
  </cols>
  <sheetData>
    <row r="2" ht="15.75" thickBot="1"/>
    <row r="3" spans="3:9" ht="13.5" customHeight="1" thickBot="1">
      <c r="C3" s="40"/>
      <c r="D3" s="41"/>
      <c r="E3" s="41"/>
      <c r="F3" s="41"/>
      <c r="G3" s="41"/>
      <c r="H3" s="41"/>
      <c r="I3" s="3"/>
    </row>
    <row r="4" spans="3:9" ht="36" thickBot="1">
      <c r="C4" s="42"/>
      <c r="D4" s="43"/>
      <c r="E4" s="348" t="s">
        <v>308</v>
      </c>
      <c r="F4" s="348"/>
      <c r="G4" s="348"/>
      <c r="H4" s="44"/>
      <c r="I4" s="4"/>
    </row>
    <row r="5" spans="3:9" ht="15">
      <c r="C5" s="42"/>
      <c r="D5" s="45"/>
      <c r="E5" s="27" t="s">
        <v>62</v>
      </c>
      <c r="F5" s="45"/>
      <c r="G5" s="45"/>
      <c r="H5" s="45"/>
      <c r="I5" s="4"/>
    </row>
    <row r="6" spans="3:9" ht="18">
      <c r="C6" s="42"/>
      <c r="D6" s="45"/>
      <c r="E6" s="26" t="s">
        <v>309</v>
      </c>
      <c r="F6" s="45"/>
      <c r="G6" s="45"/>
      <c r="H6" s="45"/>
      <c r="I6" s="4"/>
    </row>
    <row r="7" spans="3:9" ht="15">
      <c r="C7" s="42"/>
      <c r="D7" s="45"/>
      <c r="E7" s="27" t="s">
        <v>63</v>
      </c>
      <c r="F7" s="45"/>
      <c r="G7" s="45"/>
      <c r="H7" s="45"/>
      <c r="I7" s="4"/>
    </row>
    <row r="8" spans="3:9" ht="9" customHeight="1">
      <c r="C8" s="42"/>
      <c r="D8" s="45"/>
      <c r="E8" s="27"/>
      <c r="F8" s="45"/>
      <c r="G8" s="45"/>
      <c r="H8" s="45"/>
      <c r="I8" s="4"/>
    </row>
    <row r="9" spans="3:9" ht="18">
      <c r="C9" s="42"/>
      <c r="D9" s="45"/>
      <c r="E9" s="26" t="s">
        <v>310</v>
      </c>
      <c r="F9" s="45"/>
      <c r="G9" s="45"/>
      <c r="H9" s="45"/>
      <c r="I9" s="4"/>
    </row>
    <row r="10" spans="3:9" ht="15">
      <c r="C10" s="42"/>
      <c r="D10" s="45"/>
      <c r="E10" s="27" t="s">
        <v>64</v>
      </c>
      <c r="F10" s="45"/>
      <c r="G10" s="45"/>
      <c r="H10" s="45"/>
      <c r="I10" s="4"/>
    </row>
    <row r="11" spans="3:9" ht="9" customHeight="1">
      <c r="C11" s="42"/>
      <c r="D11" s="45"/>
      <c r="E11" s="28"/>
      <c r="F11" s="45"/>
      <c r="G11" s="45"/>
      <c r="H11" s="45"/>
      <c r="I11" s="4"/>
    </row>
    <row r="12" spans="3:9" ht="18">
      <c r="C12" s="42"/>
      <c r="D12" s="45"/>
      <c r="E12" s="26" t="s">
        <v>284</v>
      </c>
      <c r="F12" s="45"/>
      <c r="G12" s="45"/>
      <c r="H12" s="45"/>
      <c r="I12" s="4"/>
    </row>
    <row r="13" spans="3:9" ht="15">
      <c r="C13" s="42"/>
      <c r="D13" s="45"/>
      <c r="E13" s="27" t="s">
        <v>285</v>
      </c>
      <c r="F13" s="45"/>
      <c r="G13" s="45"/>
      <c r="H13" s="45"/>
      <c r="I13" s="4"/>
    </row>
    <row r="14" spans="3:9" ht="16.5" thickBot="1">
      <c r="C14" s="46"/>
      <c r="D14" s="47"/>
      <c r="E14" s="48"/>
      <c r="F14" s="49"/>
      <c r="G14" s="48"/>
      <c r="H14" s="48"/>
      <c r="I14" s="50"/>
    </row>
    <row r="15" spans="2:9" s="51" customFormat="1" ht="12.75" customHeight="1" thickBot="1">
      <c r="B15" s="52"/>
      <c r="C15" s="52"/>
      <c r="D15" s="53"/>
      <c r="E15" s="54"/>
      <c r="F15" s="54"/>
      <c r="G15" s="55"/>
      <c r="H15" s="54"/>
      <c r="I15" s="54"/>
    </row>
    <row r="16" spans="3:9" ht="24.75">
      <c r="C16" s="40"/>
      <c r="D16" s="56" t="s">
        <v>311</v>
      </c>
      <c r="E16" s="41"/>
      <c r="F16" s="41"/>
      <c r="G16" s="57">
        <v>282</v>
      </c>
      <c r="H16" s="41" t="s">
        <v>312</v>
      </c>
      <c r="I16" s="3"/>
    </row>
    <row r="17" spans="3:9" ht="18">
      <c r="C17" s="42"/>
      <c r="D17" s="26" t="s">
        <v>313</v>
      </c>
      <c r="E17" s="54"/>
      <c r="F17" s="54"/>
      <c r="G17" s="55"/>
      <c r="H17" s="54"/>
      <c r="I17" s="4"/>
    </row>
    <row r="18" spans="3:9" ht="24.75" customHeight="1" thickBot="1">
      <c r="C18" s="42"/>
      <c r="D18" s="58" t="s">
        <v>314</v>
      </c>
      <c r="E18" s="59" t="s">
        <v>315</v>
      </c>
      <c r="F18" s="59" t="s">
        <v>69</v>
      </c>
      <c r="G18" s="59" t="s">
        <v>262</v>
      </c>
      <c r="H18" s="59" t="s">
        <v>61</v>
      </c>
      <c r="I18" s="4"/>
    </row>
    <row r="19" spans="3:9" ht="24.75" customHeight="1" thickTop="1">
      <c r="C19" s="42"/>
      <c r="D19" s="60">
        <v>1</v>
      </c>
      <c r="E19" s="61" t="s">
        <v>316</v>
      </c>
      <c r="F19" s="60">
        <f>10*G16</f>
        <v>2820</v>
      </c>
      <c r="G19" s="62">
        <v>0.9</v>
      </c>
      <c r="H19" s="62">
        <f>G19*F19</f>
        <v>2538</v>
      </c>
      <c r="I19" s="4"/>
    </row>
    <row r="20" spans="3:9" ht="24.75" customHeight="1">
      <c r="C20" s="42"/>
      <c r="D20" s="63">
        <v>2</v>
      </c>
      <c r="E20" s="64" t="s">
        <v>317</v>
      </c>
      <c r="F20" s="63">
        <f>4*G16</f>
        <v>1128</v>
      </c>
      <c r="G20" s="65">
        <v>3</v>
      </c>
      <c r="H20" s="65">
        <f>G20*F20</f>
        <v>3384</v>
      </c>
      <c r="I20" s="4"/>
    </row>
    <row r="21" spans="3:17" ht="10.5" customHeight="1">
      <c r="C21" s="42"/>
      <c r="D21" s="66"/>
      <c r="E21" s="67"/>
      <c r="F21" s="66"/>
      <c r="G21" s="68"/>
      <c r="H21" s="68"/>
      <c r="I21" s="4"/>
      <c r="O21" s="69">
        <f>3.2/100</f>
        <v>0.032</v>
      </c>
      <c r="P21" s="70">
        <f aca="true" t="shared" si="0" ref="P21:P26">(O21/2)*(O21/2)*3.141516</f>
        <v>0.000804228096</v>
      </c>
      <c r="Q21" s="70">
        <f aca="true" t="shared" si="1" ref="Q21:Q26">P21*8000</f>
        <v>6.433824768</v>
      </c>
    </row>
    <row r="22" spans="3:17" ht="24.75" customHeight="1">
      <c r="C22" s="42"/>
      <c r="D22" s="26" t="s">
        <v>318</v>
      </c>
      <c r="E22" s="55"/>
      <c r="F22" s="67"/>
      <c r="G22" s="68"/>
      <c r="H22" s="68"/>
      <c r="I22" s="71"/>
      <c r="O22" s="69">
        <f>4.2/100</f>
        <v>0.042</v>
      </c>
      <c r="P22" s="70">
        <f t="shared" si="0"/>
        <v>0.0013854085560000002</v>
      </c>
      <c r="Q22" s="70">
        <f t="shared" si="1"/>
        <v>11.083268448000002</v>
      </c>
    </row>
    <row r="23" spans="3:17" ht="24.75" customHeight="1" thickBot="1">
      <c r="C23" s="42"/>
      <c r="D23" s="58" t="s">
        <v>314</v>
      </c>
      <c r="E23" s="59" t="s">
        <v>315</v>
      </c>
      <c r="F23" s="59" t="s">
        <v>319</v>
      </c>
      <c r="G23" s="59" t="s">
        <v>262</v>
      </c>
      <c r="H23" s="59" t="s">
        <v>320</v>
      </c>
      <c r="I23" s="71"/>
      <c r="O23" s="69">
        <f>5/100</f>
        <v>0.05</v>
      </c>
      <c r="P23" s="70">
        <f t="shared" si="0"/>
        <v>0.0019634475000000007</v>
      </c>
      <c r="Q23" s="70">
        <f t="shared" si="1"/>
        <v>15.707580000000005</v>
      </c>
    </row>
    <row r="24" spans="3:17" ht="24.75" customHeight="1" thickTop="1">
      <c r="C24" s="42"/>
      <c r="D24" s="60">
        <v>1</v>
      </c>
      <c r="E24" s="61" t="s">
        <v>316</v>
      </c>
      <c r="F24" s="72">
        <v>0.16</v>
      </c>
      <c r="G24" s="72">
        <f>H19</f>
        <v>2538</v>
      </c>
      <c r="H24" s="62">
        <f>G24*F24*1.1</f>
        <v>446.68800000000005</v>
      </c>
      <c r="I24" s="4"/>
      <c r="O24" s="69">
        <f>6.3/100</f>
        <v>0.063</v>
      </c>
      <c r="P24" s="70">
        <f t="shared" si="0"/>
        <v>0.0031171692510000002</v>
      </c>
      <c r="Q24" s="70">
        <f t="shared" si="1"/>
        <v>24.937354008000003</v>
      </c>
    </row>
    <row r="25" spans="3:17" ht="24.75" customHeight="1">
      <c r="C25" s="42"/>
      <c r="D25" s="63">
        <v>2</v>
      </c>
      <c r="E25" s="64" t="s">
        <v>317</v>
      </c>
      <c r="F25" s="73">
        <v>0.63</v>
      </c>
      <c r="G25" s="73">
        <f>H20</f>
        <v>3384</v>
      </c>
      <c r="H25" s="62">
        <f>G25*F25*1.1</f>
        <v>2345.112</v>
      </c>
      <c r="I25" s="4"/>
      <c r="O25" s="69">
        <f>8/100</f>
        <v>0.08</v>
      </c>
      <c r="P25" s="70">
        <f t="shared" si="0"/>
        <v>0.0050264256</v>
      </c>
      <c r="Q25" s="70">
        <f t="shared" si="1"/>
        <v>40.211404800000004</v>
      </c>
    </row>
    <row r="26" spans="3:17" ht="24.75" customHeight="1">
      <c r="C26" s="42"/>
      <c r="D26" s="53"/>
      <c r="E26" s="55"/>
      <c r="F26" s="67"/>
      <c r="G26" s="74" t="s">
        <v>320</v>
      </c>
      <c r="H26" s="74">
        <f>SUM(H24:H25)</f>
        <v>2791.8</v>
      </c>
      <c r="I26" s="71"/>
      <c r="O26" s="69">
        <f>10/100</f>
        <v>0.1</v>
      </c>
      <c r="P26" s="70">
        <f t="shared" si="0"/>
        <v>0.007853790000000003</v>
      </c>
      <c r="Q26" s="70">
        <f t="shared" si="1"/>
        <v>62.83032000000002</v>
      </c>
    </row>
    <row r="27" spans="3:9" ht="18">
      <c r="C27" s="42"/>
      <c r="D27" s="26" t="s">
        <v>321</v>
      </c>
      <c r="E27" s="55"/>
      <c r="F27" s="67"/>
      <c r="G27" s="68"/>
      <c r="H27" s="68"/>
      <c r="I27" s="4"/>
    </row>
    <row r="28" spans="3:9" ht="24.75" customHeight="1" thickBot="1">
      <c r="C28" s="42"/>
      <c r="D28" s="58" t="s">
        <v>314</v>
      </c>
      <c r="E28" s="59" t="s">
        <v>315</v>
      </c>
      <c r="F28" s="59" t="s">
        <v>262</v>
      </c>
      <c r="G28" s="59" t="s">
        <v>322</v>
      </c>
      <c r="H28" s="59" t="s">
        <v>323</v>
      </c>
      <c r="I28" s="71"/>
    </row>
    <row r="29" spans="3:18" ht="24.75" customHeight="1" thickTop="1">
      <c r="C29" s="42"/>
      <c r="D29" s="60">
        <v>1</v>
      </c>
      <c r="E29" s="61" t="s">
        <v>316</v>
      </c>
      <c r="F29" s="72">
        <f>G24</f>
        <v>2538</v>
      </c>
      <c r="G29" s="72">
        <f>F29/12</f>
        <v>211.5</v>
      </c>
      <c r="H29" s="62">
        <f>H24</f>
        <v>446.68800000000005</v>
      </c>
      <c r="I29" s="4"/>
      <c r="L29" s="2" t="s">
        <v>291</v>
      </c>
      <c r="N29" s="163">
        <v>704.9</v>
      </c>
      <c r="P29" s="2" t="s">
        <v>372</v>
      </c>
      <c r="R29" s="163">
        <f>SUM(R30:R43)</f>
        <v>145</v>
      </c>
    </row>
    <row r="30" spans="3:18" ht="24.75" customHeight="1">
      <c r="C30" s="42"/>
      <c r="D30" s="63">
        <v>2</v>
      </c>
      <c r="E30" s="64" t="s">
        <v>317</v>
      </c>
      <c r="F30" s="73">
        <f>G25</f>
        <v>3384</v>
      </c>
      <c r="G30" s="73">
        <f>F30/12</f>
        <v>282</v>
      </c>
      <c r="H30" s="65">
        <f>H25</f>
        <v>2345.112</v>
      </c>
      <c r="I30" s="71"/>
      <c r="L30" s="161">
        <v>9.46</v>
      </c>
      <c r="M30" s="161">
        <v>12</v>
      </c>
      <c r="N30" s="161">
        <f aca="true" t="shared" si="2" ref="N30:N37">M30*L30</f>
        <v>113.52000000000001</v>
      </c>
      <c r="O30" s="161"/>
      <c r="P30" s="161">
        <v>4</v>
      </c>
      <c r="Q30" s="161">
        <v>12</v>
      </c>
      <c r="R30" s="161">
        <f aca="true" t="shared" si="3" ref="R30:R37">Q30*P30</f>
        <v>48</v>
      </c>
    </row>
    <row r="31" spans="3:18" ht="24.75" customHeight="1">
      <c r="C31" s="42"/>
      <c r="D31" s="66"/>
      <c r="E31" s="67"/>
      <c r="F31" s="75"/>
      <c r="G31" s="74" t="s">
        <v>320</v>
      </c>
      <c r="H31" s="74">
        <f>SUM(H29:H30)</f>
        <v>2791.8</v>
      </c>
      <c r="I31" s="71"/>
      <c r="L31" s="161">
        <v>3.46</v>
      </c>
      <c r="M31" s="161">
        <v>11</v>
      </c>
      <c r="N31" s="161">
        <f t="shared" si="2"/>
        <v>38.06</v>
      </c>
      <c r="O31" s="161"/>
      <c r="P31" s="161">
        <v>1</v>
      </c>
      <c r="Q31" s="161">
        <v>11</v>
      </c>
      <c r="R31" s="161">
        <f t="shared" si="3"/>
        <v>11</v>
      </c>
    </row>
    <row r="32" spans="3:18" ht="24.75" customHeight="1">
      <c r="C32" s="42"/>
      <c r="D32" s="66"/>
      <c r="E32" s="67"/>
      <c r="F32" s="66"/>
      <c r="G32" s="76" t="s">
        <v>324</v>
      </c>
      <c r="H32" s="76">
        <f>H31/H37</f>
        <v>25.210758118055104</v>
      </c>
      <c r="I32" s="4"/>
      <c r="L32" s="161">
        <v>3.46</v>
      </c>
      <c r="M32" s="161">
        <v>11</v>
      </c>
      <c r="N32" s="161">
        <f t="shared" si="2"/>
        <v>38.06</v>
      </c>
      <c r="O32" s="161"/>
      <c r="P32" s="161">
        <v>1</v>
      </c>
      <c r="Q32" s="161">
        <v>11</v>
      </c>
      <c r="R32" s="161">
        <f t="shared" si="3"/>
        <v>11</v>
      </c>
    </row>
    <row r="33" spans="3:18" ht="24.75" customHeight="1">
      <c r="C33" s="42"/>
      <c r="D33" s="26" t="s">
        <v>325</v>
      </c>
      <c r="E33" s="55"/>
      <c r="F33" s="67"/>
      <c r="G33" s="68"/>
      <c r="H33" s="68"/>
      <c r="I33" s="71"/>
      <c r="L33" s="161">
        <f>2+3+0.5</f>
        <v>5.5</v>
      </c>
      <c r="M33" s="161">
        <v>11</v>
      </c>
      <c r="N33" s="161">
        <f t="shared" si="2"/>
        <v>60.5</v>
      </c>
      <c r="O33" s="161"/>
      <c r="P33" s="161">
        <v>2</v>
      </c>
      <c r="Q33" s="161">
        <v>11</v>
      </c>
      <c r="R33" s="161">
        <f t="shared" si="3"/>
        <v>22</v>
      </c>
    </row>
    <row r="34" spans="3:18" ht="24.75" customHeight="1" thickBot="1">
      <c r="C34" s="42"/>
      <c r="D34" s="58" t="s">
        <v>69</v>
      </c>
      <c r="E34" s="59" t="s">
        <v>326</v>
      </c>
      <c r="F34" s="59" t="s">
        <v>327</v>
      </c>
      <c r="G34" s="59" t="s">
        <v>328</v>
      </c>
      <c r="H34" s="59" t="s">
        <v>329</v>
      </c>
      <c r="I34" s="71"/>
      <c r="L34" s="161">
        <v>2.25</v>
      </c>
      <c r="M34" s="161">
        <v>1</v>
      </c>
      <c r="N34" s="161">
        <f t="shared" si="2"/>
        <v>2.25</v>
      </c>
      <c r="O34" s="161"/>
      <c r="P34" s="161">
        <v>2</v>
      </c>
      <c r="Q34" s="161">
        <v>1</v>
      </c>
      <c r="R34" s="161">
        <f t="shared" si="3"/>
        <v>2</v>
      </c>
    </row>
    <row r="35" spans="3:18" ht="24.75" customHeight="1" thickTop="1">
      <c r="C35" s="42"/>
      <c r="D35" s="158">
        <f>G16</f>
        <v>282</v>
      </c>
      <c r="E35" s="168">
        <v>8</v>
      </c>
      <c r="F35" s="77">
        <f>E35*D35</f>
        <v>2256</v>
      </c>
      <c r="G35" s="72">
        <v>0.25</v>
      </c>
      <c r="H35" s="62">
        <f>(F35*(0.125*0.125*3.141516))</f>
        <v>110.73843900000001</v>
      </c>
      <c r="I35" s="71"/>
      <c r="L35" s="161">
        <f>(3.46*9)+2.25</f>
        <v>33.39</v>
      </c>
      <c r="M35" s="161">
        <v>1</v>
      </c>
      <c r="N35" s="161">
        <f t="shared" si="2"/>
        <v>33.39</v>
      </c>
      <c r="O35" s="161"/>
      <c r="P35" s="161">
        <v>10</v>
      </c>
      <c r="Q35" s="161">
        <v>1</v>
      </c>
      <c r="R35" s="161">
        <f t="shared" si="3"/>
        <v>10</v>
      </c>
    </row>
    <row r="36" spans="3:18" ht="24.75" customHeight="1">
      <c r="C36" s="42"/>
      <c r="D36" s="60"/>
      <c r="E36" s="168"/>
      <c r="F36" s="77">
        <f>E36*D36</f>
        <v>0</v>
      </c>
      <c r="G36" s="72">
        <v>0.25</v>
      </c>
      <c r="H36" s="62">
        <f>(F36*(0.125*0.125*3.141516))</f>
        <v>0</v>
      </c>
      <c r="I36" s="71"/>
      <c r="L36" s="161">
        <v>3.46</v>
      </c>
      <c r="M36" s="161">
        <v>8</v>
      </c>
      <c r="N36" s="161">
        <f t="shared" si="2"/>
        <v>27.68</v>
      </c>
      <c r="O36" s="161"/>
      <c r="P36" s="161">
        <v>2</v>
      </c>
      <c r="Q36" s="161">
        <v>8</v>
      </c>
      <c r="R36" s="161">
        <f t="shared" si="3"/>
        <v>16</v>
      </c>
    </row>
    <row r="37" spans="3:18" ht="24.75" customHeight="1">
      <c r="C37" s="42"/>
      <c r="D37" s="66"/>
      <c r="E37" s="75"/>
      <c r="F37" s="75"/>
      <c r="G37" s="74" t="s">
        <v>61</v>
      </c>
      <c r="H37" s="74">
        <f>SUM(H35:H36)</f>
        <v>110.73843900000001</v>
      </c>
      <c r="I37" s="71"/>
      <c r="L37" s="161">
        <v>5.29</v>
      </c>
      <c r="M37" s="161">
        <v>2</v>
      </c>
      <c r="N37" s="161">
        <f t="shared" si="2"/>
        <v>10.58</v>
      </c>
      <c r="O37" s="161"/>
      <c r="P37" s="161">
        <v>3</v>
      </c>
      <c r="Q37" s="161">
        <v>2</v>
      </c>
      <c r="R37" s="161">
        <f t="shared" si="3"/>
        <v>6</v>
      </c>
    </row>
    <row r="38" spans="3:18" ht="13.5" customHeight="1" thickBot="1">
      <c r="C38" s="46"/>
      <c r="D38" s="78"/>
      <c r="E38" s="79"/>
      <c r="F38" s="79"/>
      <c r="G38" s="80"/>
      <c r="H38" s="80"/>
      <c r="I38" s="81"/>
      <c r="L38" s="161"/>
      <c r="M38" s="161"/>
      <c r="N38" s="161"/>
      <c r="O38" s="161"/>
      <c r="P38" s="161"/>
      <c r="Q38" s="161"/>
      <c r="R38" s="161"/>
    </row>
    <row r="39" spans="2:18" s="51" customFormat="1" ht="12.75" customHeight="1" thickBot="1">
      <c r="B39" s="52"/>
      <c r="C39" s="52"/>
      <c r="D39" s="53"/>
      <c r="E39" s="54"/>
      <c r="F39" s="54"/>
      <c r="G39" s="55"/>
      <c r="H39" s="54"/>
      <c r="I39" s="54"/>
      <c r="L39" s="161"/>
      <c r="M39" s="161"/>
      <c r="N39" s="161"/>
      <c r="O39" s="162"/>
      <c r="P39" s="162"/>
      <c r="Q39" s="161"/>
      <c r="R39" s="161"/>
    </row>
    <row r="40" spans="3:18" ht="24.75">
      <c r="C40" s="40"/>
      <c r="D40" s="56" t="s">
        <v>330</v>
      </c>
      <c r="E40" s="41"/>
      <c r="F40" s="57"/>
      <c r="G40" s="82" t="s">
        <v>331</v>
      </c>
      <c r="H40" s="41"/>
      <c r="I40" s="3"/>
      <c r="L40" s="161">
        <v>2.5</v>
      </c>
      <c r="M40" s="161">
        <v>2</v>
      </c>
      <c r="N40" s="161">
        <f>M40*L40</f>
        <v>5</v>
      </c>
      <c r="O40" s="161"/>
      <c r="P40" s="161">
        <v>1</v>
      </c>
      <c r="Q40" s="161">
        <v>2</v>
      </c>
      <c r="R40" s="161">
        <f>Q40*P40</f>
        <v>2</v>
      </c>
    </row>
    <row r="41" spans="3:18" ht="24.75">
      <c r="C41" s="42"/>
      <c r="D41" s="83"/>
      <c r="E41" s="54"/>
      <c r="F41" s="84">
        <f>G16</f>
        <v>282</v>
      </c>
      <c r="G41" s="85" t="s">
        <v>332</v>
      </c>
      <c r="H41" s="54"/>
      <c r="I41" s="4"/>
      <c r="L41" s="161">
        <v>1.5</v>
      </c>
      <c r="M41" s="161">
        <v>2</v>
      </c>
      <c r="N41" s="161">
        <f>M41*L41</f>
        <v>3</v>
      </c>
      <c r="O41" s="161"/>
      <c r="P41" s="161">
        <v>1</v>
      </c>
      <c r="Q41" s="161">
        <v>2</v>
      </c>
      <c r="R41" s="161">
        <f>Q41*P41</f>
        <v>2</v>
      </c>
    </row>
    <row r="42" spans="3:18" ht="18">
      <c r="C42" s="42"/>
      <c r="D42" s="26" t="s">
        <v>313</v>
      </c>
      <c r="E42" s="54"/>
      <c r="F42" s="54"/>
      <c r="G42" s="55"/>
      <c r="H42" s="54"/>
      <c r="I42" s="4"/>
      <c r="L42" s="161">
        <f>(3.46*9)+2.25</f>
        <v>33.39</v>
      </c>
      <c r="M42" s="161">
        <v>1</v>
      </c>
      <c r="N42" s="161">
        <f>M42*L42</f>
        <v>33.39</v>
      </c>
      <c r="O42" s="161"/>
      <c r="P42" s="161">
        <v>10</v>
      </c>
      <c r="Q42" s="161">
        <v>1</v>
      </c>
      <c r="R42" s="161">
        <f>Q42*P42</f>
        <v>10</v>
      </c>
    </row>
    <row r="43" spans="3:18" ht="24.75" customHeight="1" thickBot="1">
      <c r="C43" s="42"/>
      <c r="D43" s="58" t="s">
        <v>314</v>
      </c>
      <c r="E43" s="59" t="s">
        <v>315</v>
      </c>
      <c r="F43" s="59" t="s">
        <v>69</v>
      </c>
      <c r="G43" s="59" t="s">
        <v>262</v>
      </c>
      <c r="H43" s="59" t="s">
        <v>61</v>
      </c>
      <c r="I43" s="4"/>
      <c r="L43" s="161">
        <f>23.7-11.8+0.1</f>
        <v>11.999999999999998</v>
      </c>
      <c r="M43" s="161">
        <v>1</v>
      </c>
      <c r="N43" s="161">
        <f>M43*L43</f>
        <v>11.999999999999998</v>
      </c>
      <c r="O43" s="161"/>
      <c r="P43" s="161">
        <v>5</v>
      </c>
      <c r="Q43" s="161">
        <v>1</v>
      </c>
      <c r="R43" s="161">
        <f>Q43*P43</f>
        <v>5</v>
      </c>
    </row>
    <row r="44" spans="3:9" ht="24.75" customHeight="1" thickTop="1">
      <c r="C44" s="42"/>
      <c r="D44" s="63">
        <v>3</v>
      </c>
      <c r="E44" s="64" t="s">
        <v>333</v>
      </c>
      <c r="F44" s="63">
        <f>F41*10</f>
        <v>2820</v>
      </c>
      <c r="G44" s="65">
        <v>2.1</v>
      </c>
      <c r="H44" s="65">
        <f>G44*F44</f>
        <v>5922</v>
      </c>
      <c r="I44" s="4"/>
    </row>
    <row r="45" spans="3:17" ht="24.75" customHeight="1">
      <c r="C45" s="42"/>
      <c r="D45" s="63">
        <v>4</v>
      </c>
      <c r="E45" s="64" t="s">
        <v>333</v>
      </c>
      <c r="F45" s="63">
        <f>F40*9</f>
        <v>0</v>
      </c>
      <c r="G45" s="65">
        <v>2.1</v>
      </c>
      <c r="H45" s="65">
        <f>G45*F45</f>
        <v>0</v>
      </c>
      <c r="I45" s="4"/>
      <c r="Q45" s="2">
        <f>4.64+2.25+2.25+5.87+3.44+4.5+(5*0.15)</f>
        <v>23.700000000000003</v>
      </c>
    </row>
    <row r="46" spans="3:17" ht="24.75" customHeight="1">
      <c r="C46" s="42"/>
      <c r="D46" s="63">
        <v>5</v>
      </c>
      <c r="E46" s="64" t="s">
        <v>333</v>
      </c>
      <c r="F46" s="63">
        <f>F40*10</f>
        <v>0</v>
      </c>
      <c r="G46" s="65">
        <v>3</v>
      </c>
      <c r="H46" s="65">
        <f>G46*F46</f>
        <v>0</v>
      </c>
      <c r="I46" s="4"/>
      <c r="Q46" s="2">
        <f>4.05+1.66+1.51+4.2+(3*0.15)</f>
        <v>11.87</v>
      </c>
    </row>
    <row r="47" spans="3:9" ht="10.5" customHeight="1">
      <c r="C47" s="42"/>
      <c r="D47" s="66"/>
      <c r="E47" s="67"/>
      <c r="F47" s="66"/>
      <c r="G47" s="68"/>
      <c r="H47" s="68"/>
      <c r="I47" s="4"/>
    </row>
    <row r="48" spans="3:17" ht="24.75" customHeight="1">
      <c r="C48" s="42"/>
      <c r="D48" s="26" t="s">
        <v>318</v>
      </c>
      <c r="E48" s="55"/>
      <c r="F48" s="67"/>
      <c r="G48" s="68"/>
      <c r="H48" s="68"/>
      <c r="I48" s="71"/>
      <c r="Q48" s="2">
        <f>Q45-Q46</f>
        <v>11.830000000000004</v>
      </c>
    </row>
    <row r="49" spans="3:9" ht="24.75" customHeight="1" thickBot="1">
      <c r="C49" s="42"/>
      <c r="D49" s="58" t="s">
        <v>314</v>
      </c>
      <c r="E49" s="59" t="s">
        <v>315</v>
      </c>
      <c r="F49" s="59" t="s">
        <v>319</v>
      </c>
      <c r="G49" s="59" t="s">
        <v>262</v>
      </c>
      <c r="H49" s="59" t="s">
        <v>323</v>
      </c>
      <c r="I49" s="71"/>
    </row>
    <row r="50" spans="3:9" ht="24.75" customHeight="1" thickTop="1">
      <c r="C50" s="42"/>
      <c r="D50" s="63" t="s">
        <v>334</v>
      </c>
      <c r="E50" s="64" t="s">
        <v>335</v>
      </c>
      <c r="F50" s="73">
        <v>0.4</v>
      </c>
      <c r="G50" s="73">
        <f>SUM(H44:H46)</f>
        <v>5922</v>
      </c>
      <c r="H50" s="65">
        <f>G50*F50*1.1</f>
        <v>2605.6800000000003</v>
      </c>
      <c r="I50" s="4"/>
    </row>
    <row r="51" spans="3:9" ht="24.75" customHeight="1">
      <c r="C51" s="42"/>
      <c r="D51" s="53"/>
      <c r="E51" s="55"/>
      <c r="F51" s="67"/>
      <c r="G51" s="74" t="s">
        <v>320</v>
      </c>
      <c r="H51" s="74">
        <f>SUM(H50:H50)</f>
        <v>2605.6800000000003</v>
      </c>
      <c r="I51" s="71"/>
    </row>
    <row r="52" spans="3:9" ht="18">
      <c r="C52" s="42"/>
      <c r="D52" s="26" t="s">
        <v>321</v>
      </c>
      <c r="E52" s="55"/>
      <c r="F52" s="67"/>
      <c r="G52" s="68"/>
      <c r="H52" s="68"/>
      <c r="I52" s="4"/>
    </row>
    <row r="53" spans="3:9" ht="24.75" customHeight="1" thickBot="1">
      <c r="C53" s="42"/>
      <c r="D53" s="58" t="s">
        <v>314</v>
      </c>
      <c r="E53" s="59" t="s">
        <v>315</v>
      </c>
      <c r="F53" s="59" t="s">
        <v>262</v>
      </c>
      <c r="G53" s="59" t="s">
        <v>322</v>
      </c>
      <c r="H53" s="59" t="s">
        <v>323</v>
      </c>
      <c r="I53" s="71"/>
    </row>
    <row r="54" spans="3:9" ht="24.75" customHeight="1" thickTop="1">
      <c r="C54" s="42"/>
      <c r="D54" s="63" t="str">
        <f>D50</f>
        <v>3 a 5 </v>
      </c>
      <c r="E54" s="64" t="s">
        <v>335</v>
      </c>
      <c r="F54" s="73">
        <f>G50</f>
        <v>5922</v>
      </c>
      <c r="G54" s="73">
        <f>F54/12</f>
        <v>493.5</v>
      </c>
      <c r="H54" s="65">
        <f>H50</f>
        <v>2605.6800000000003</v>
      </c>
      <c r="I54" s="4"/>
    </row>
    <row r="55" spans="3:9" ht="24.75" customHeight="1">
      <c r="C55" s="42"/>
      <c r="D55" s="66"/>
      <c r="E55" s="67"/>
      <c r="F55" s="75"/>
      <c r="G55" s="74" t="s">
        <v>320</v>
      </c>
      <c r="H55" s="74">
        <f>SUM(H54:H54)</f>
        <v>2605.6800000000003</v>
      </c>
      <c r="I55" s="71"/>
    </row>
    <row r="56" spans="3:9" ht="24.75" customHeight="1">
      <c r="C56" s="42"/>
      <c r="D56" s="26"/>
      <c r="E56" s="55"/>
      <c r="F56" s="67"/>
      <c r="G56" s="76" t="s">
        <v>324</v>
      </c>
      <c r="H56" s="76">
        <f>H55/H61</f>
        <v>73.92</v>
      </c>
      <c r="I56" s="71"/>
    </row>
    <row r="57" spans="3:9" ht="24.75" customHeight="1">
      <c r="C57" s="42"/>
      <c r="D57" s="26" t="s">
        <v>336</v>
      </c>
      <c r="E57" s="55"/>
      <c r="F57" s="67"/>
      <c r="G57" s="67"/>
      <c r="H57" s="67"/>
      <c r="I57" s="71"/>
    </row>
    <row r="58" spans="3:9" ht="24.75" customHeight="1" thickBot="1">
      <c r="C58" s="42"/>
      <c r="D58" s="59" t="s">
        <v>337</v>
      </c>
      <c r="E58" s="59" t="s">
        <v>338</v>
      </c>
      <c r="F58" s="59" t="s">
        <v>338</v>
      </c>
      <c r="G58" s="59" t="s">
        <v>339</v>
      </c>
      <c r="H58" s="59" t="s">
        <v>329</v>
      </c>
      <c r="I58" s="71"/>
    </row>
    <row r="59" spans="3:9" ht="24.75" customHeight="1" thickTop="1">
      <c r="C59" s="42"/>
      <c r="D59" s="60">
        <f>F40</f>
        <v>0</v>
      </c>
      <c r="E59" s="72">
        <v>1</v>
      </c>
      <c r="F59" s="72">
        <v>0.5</v>
      </c>
      <c r="G59" s="72">
        <v>0.5</v>
      </c>
      <c r="H59" s="62">
        <f>D59*E59*F59*G59</f>
        <v>0</v>
      </c>
      <c r="I59" s="71"/>
    </row>
    <row r="60" spans="3:9" ht="24.75" customHeight="1">
      <c r="C60" s="42"/>
      <c r="D60" s="60">
        <f>F41</f>
        <v>282</v>
      </c>
      <c r="E60" s="72">
        <v>0.5</v>
      </c>
      <c r="F60" s="72">
        <v>0.5</v>
      </c>
      <c r="G60" s="72">
        <v>0.5</v>
      </c>
      <c r="H60" s="62">
        <f>D60*E60*F60*G60</f>
        <v>35.25</v>
      </c>
      <c r="I60" s="71"/>
    </row>
    <row r="61" spans="3:9" ht="24.75" customHeight="1">
      <c r="C61" s="42"/>
      <c r="D61" s="26"/>
      <c r="E61" s="55"/>
      <c r="F61" s="67"/>
      <c r="G61" s="74" t="s">
        <v>325</v>
      </c>
      <c r="H61" s="74">
        <f>SUM(H59:H60)</f>
        <v>35.25</v>
      </c>
      <c r="I61" s="71"/>
    </row>
    <row r="62" spans="3:9" ht="24.75" customHeight="1">
      <c r="C62" s="42"/>
      <c r="D62" s="26" t="s">
        <v>340</v>
      </c>
      <c r="E62" s="75"/>
      <c r="F62" s="75"/>
      <c r="G62" s="75"/>
      <c r="H62" s="75"/>
      <c r="I62" s="71"/>
    </row>
    <row r="63" spans="3:9" ht="24.75" customHeight="1" thickBot="1">
      <c r="C63" s="42"/>
      <c r="D63" s="59" t="s">
        <v>337</v>
      </c>
      <c r="E63" s="59" t="s">
        <v>338</v>
      </c>
      <c r="F63" s="59" t="s">
        <v>338</v>
      </c>
      <c r="G63" s="59" t="s">
        <v>339</v>
      </c>
      <c r="H63" s="59" t="s">
        <v>329</v>
      </c>
      <c r="I63" s="71"/>
    </row>
    <row r="64" spans="3:9" ht="24.75" customHeight="1" thickTop="1">
      <c r="C64" s="42"/>
      <c r="D64" s="60">
        <f>F40</f>
        <v>0</v>
      </c>
      <c r="E64" s="72">
        <v>1</v>
      </c>
      <c r="F64" s="72">
        <v>0.5</v>
      </c>
      <c r="G64" s="72">
        <v>0.5</v>
      </c>
      <c r="H64" s="62">
        <f>(E64+F64)*2*G64*D64/3</f>
        <v>0</v>
      </c>
      <c r="I64" s="71"/>
    </row>
    <row r="65" spans="3:9" ht="24.75" customHeight="1">
      <c r="C65" s="42"/>
      <c r="D65" s="60">
        <f>F41</f>
        <v>282</v>
      </c>
      <c r="E65" s="72">
        <v>0.5</v>
      </c>
      <c r="F65" s="72">
        <v>0.5</v>
      </c>
      <c r="G65" s="72">
        <v>0.5</v>
      </c>
      <c r="H65" s="62">
        <f>(E65+F65)*2*G65*D65/3</f>
        <v>94</v>
      </c>
      <c r="I65" s="71"/>
    </row>
    <row r="66" spans="3:9" ht="24.75" customHeight="1">
      <c r="C66" s="42"/>
      <c r="D66" s="66"/>
      <c r="E66" s="75"/>
      <c r="F66" s="75"/>
      <c r="G66" s="74" t="s">
        <v>126</v>
      </c>
      <c r="H66" s="74">
        <f>SUM(H64:H65)</f>
        <v>94</v>
      </c>
      <c r="I66" s="71"/>
    </row>
    <row r="67" spans="3:9" ht="13.5" customHeight="1" thickBot="1">
      <c r="C67" s="46"/>
      <c r="D67" s="78"/>
      <c r="E67" s="79"/>
      <c r="F67" s="79"/>
      <c r="G67" s="80"/>
      <c r="H67" s="80"/>
      <c r="I67" s="81"/>
    </row>
    <row r="68" spans="2:9" s="51" customFormat="1" ht="12.75" customHeight="1">
      <c r="B68" s="52"/>
      <c r="C68" s="52"/>
      <c r="D68" s="53"/>
      <c r="E68" s="54"/>
      <c r="F68" s="54"/>
      <c r="G68" s="55"/>
      <c r="H68" s="54"/>
      <c r="I68" s="54"/>
    </row>
    <row r="69" spans="2:14" s="51" customFormat="1" ht="12.75" customHeight="1" thickBot="1">
      <c r="B69" s="52"/>
      <c r="C69" s="52"/>
      <c r="D69" s="53"/>
      <c r="E69" s="54"/>
      <c r="F69" s="54"/>
      <c r="G69" s="55"/>
      <c r="H69" s="54"/>
      <c r="I69" s="54"/>
      <c r="L69" s="2">
        <v>9.15</v>
      </c>
      <c r="M69" s="2">
        <v>4</v>
      </c>
      <c r="N69" s="2">
        <f>M69*L69</f>
        <v>36.6</v>
      </c>
    </row>
    <row r="70" spans="3:14" ht="24.75">
      <c r="C70" s="40"/>
      <c r="D70" s="56" t="s">
        <v>341</v>
      </c>
      <c r="E70" s="41"/>
      <c r="F70" s="57">
        <v>704.9</v>
      </c>
      <c r="G70" s="41" t="s">
        <v>264</v>
      </c>
      <c r="H70" s="41"/>
      <c r="I70" s="3"/>
      <c r="L70" s="2">
        <v>6.15</v>
      </c>
      <c r="M70" s="2">
        <v>1</v>
      </c>
      <c r="N70" s="2">
        <f>M70*L70</f>
        <v>6.15</v>
      </c>
    </row>
    <row r="71" spans="3:14" ht="18">
      <c r="C71" s="42"/>
      <c r="D71" s="26" t="s">
        <v>313</v>
      </c>
      <c r="E71" s="54"/>
      <c r="F71" s="54"/>
      <c r="G71" s="55"/>
      <c r="H71" s="54"/>
      <c r="I71" s="4"/>
      <c r="L71" s="2">
        <v>18.4</v>
      </c>
      <c r="M71" s="2">
        <v>3</v>
      </c>
      <c r="N71" s="2">
        <f>M71*L71</f>
        <v>55.199999999999996</v>
      </c>
    </row>
    <row r="72" spans="3:14" ht="24.75" customHeight="1" thickBot="1">
      <c r="C72" s="42"/>
      <c r="D72" s="58" t="s">
        <v>314</v>
      </c>
      <c r="E72" s="59" t="s">
        <v>315</v>
      </c>
      <c r="F72" s="59" t="s">
        <v>69</v>
      </c>
      <c r="G72" s="59" t="s">
        <v>262</v>
      </c>
      <c r="H72" s="59" t="s">
        <v>61</v>
      </c>
      <c r="I72" s="4"/>
      <c r="L72" s="2">
        <v>12</v>
      </c>
      <c r="M72" s="2">
        <v>1</v>
      </c>
      <c r="N72" s="2">
        <f>M72*L72</f>
        <v>12</v>
      </c>
    </row>
    <row r="73" spans="3:14" ht="12.75" customHeight="1" thickTop="1">
      <c r="C73" s="42"/>
      <c r="D73" s="86"/>
      <c r="E73" s="87"/>
      <c r="F73" s="87"/>
      <c r="G73" s="87"/>
      <c r="H73" s="87"/>
      <c r="I73" s="4"/>
      <c r="N73" s="88">
        <f>SUM(N69:N72)</f>
        <v>109.94999999999999</v>
      </c>
    </row>
    <row r="74" spans="3:9" ht="24.75" customHeight="1">
      <c r="C74" s="42"/>
      <c r="D74" s="63">
        <v>6</v>
      </c>
      <c r="E74" s="64" t="s">
        <v>316</v>
      </c>
      <c r="F74" s="63">
        <f>F70/0.175</f>
        <v>4028</v>
      </c>
      <c r="G74" s="65">
        <v>1.2</v>
      </c>
      <c r="H74" s="65">
        <f>G74*F74</f>
        <v>4833.599999999999</v>
      </c>
      <c r="I74" s="4"/>
    </row>
    <row r="75" spans="3:9" ht="24.75" customHeight="1">
      <c r="C75" s="42"/>
      <c r="D75" s="63">
        <f>D74+1</f>
        <v>7</v>
      </c>
      <c r="E75" s="64" t="s">
        <v>317</v>
      </c>
      <c r="F75" s="63">
        <v>2</v>
      </c>
      <c r="G75" s="65">
        <f>F70</f>
        <v>704.9</v>
      </c>
      <c r="H75" s="65">
        <f>G75*F75</f>
        <v>1409.8</v>
      </c>
      <c r="I75" s="4"/>
    </row>
    <row r="76" spans="3:9" ht="24.75" customHeight="1" thickBot="1">
      <c r="C76" s="42"/>
      <c r="D76" s="89">
        <f>D75+1</f>
        <v>8</v>
      </c>
      <c r="E76" s="90" t="s">
        <v>317</v>
      </c>
      <c r="F76" s="89">
        <v>5</v>
      </c>
      <c r="G76" s="91">
        <f>F70</f>
        <v>704.9</v>
      </c>
      <c r="H76" s="91">
        <f>G76*F76</f>
        <v>3524.5</v>
      </c>
      <c r="I76" s="4"/>
    </row>
    <row r="77" spans="3:9" ht="10.5" customHeight="1" thickTop="1">
      <c r="C77" s="42"/>
      <c r="D77" s="66"/>
      <c r="E77" s="67"/>
      <c r="F77" s="66"/>
      <c r="G77" s="68"/>
      <c r="H77" s="68"/>
      <c r="I77" s="4"/>
    </row>
    <row r="78" spans="3:9" ht="24.75" customHeight="1">
      <c r="C78" s="42"/>
      <c r="D78" s="26" t="s">
        <v>318</v>
      </c>
      <c r="E78" s="55"/>
      <c r="F78" s="67"/>
      <c r="G78" s="68"/>
      <c r="H78" s="68"/>
      <c r="I78" s="71"/>
    </row>
    <row r="79" spans="3:9" ht="24.75" customHeight="1" thickBot="1">
      <c r="C79" s="42"/>
      <c r="D79" s="58" t="s">
        <v>314</v>
      </c>
      <c r="E79" s="59" t="s">
        <v>315</v>
      </c>
      <c r="F79" s="59" t="s">
        <v>319</v>
      </c>
      <c r="G79" s="59" t="s">
        <v>262</v>
      </c>
      <c r="H79" s="59" t="s">
        <v>323</v>
      </c>
      <c r="I79" s="71"/>
    </row>
    <row r="80" spans="3:9" ht="24.75" customHeight="1" thickTop="1">
      <c r="C80" s="42"/>
      <c r="D80" s="60">
        <f>D74</f>
        <v>6</v>
      </c>
      <c r="E80" s="64" t="s">
        <v>316</v>
      </c>
      <c r="F80" s="72">
        <v>0.16</v>
      </c>
      <c r="G80" s="72">
        <f>H74</f>
        <v>4833.599999999999</v>
      </c>
      <c r="H80" s="65">
        <f>G80*F80*1.1</f>
        <v>850.7136</v>
      </c>
      <c r="I80" s="4"/>
    </row>
    <row r="81" spans="3:9" ht="24.75" customHeight="1">
      <c r="C81" s="42"/>
      <c r="D81" s="63" t="s">
        <v>342</v>
      </c>
      <c r="E81" s="64" t="s">
        <v>317</v>
      </c>
      <c r="F81" s="73">
        <v>0.63</v>
      </c>
      <c r="G81" s="73">
        <f>SUM(H75:H76)</f>
        <v>4934.3</v>
      </c>
      <c r="H81" s="65">
        <f>G81*F81*1.1</f>
        <v>3419.4699</v>
      </c>
      <c r="I81" s="4"/>
    </row>
    <row r="82" spans="3:9" ht="24.75" customHeight="1">
      <c r="C82" s="42"/>
      <c r="D82" s="53"/>
      <c r="E82" s="55"/>
      <c r="F82" s="67"/>
      <c r="G82" s="74" t="s">
        <v>320</v>
      </c>
      <c r="H82" s="74">
        <f>SUM(H80:H81)</f>
        <v>4270.1835</v>
      </c>
      <c r="I82" s="71"/>
    </row>
    <row r="83" spans="3:9" ht="18">
      <c r="C83" s="42"/>
      <c r="D83" s="26" t="s">
        <v>321</v>
      </c>
      <c r="E83" s="55"/>
      <c r="F83" s="67"/>
      <c r="G83" s="68"/>
      <c r="H83" s="68"/>
      <c r="I83" s="4"/>
    </row>
    <row r="84" spans="3:9" ht="24.75" customHeight="1" thickBot="1">
      <c r="C84" s="42"/>
      <c r="D84" s="58" t="s">
        <v>314</v>
      </c>
      <c r="E84" s="59" t="s">
        <v>315</v>
      </c>
      <c r="F84" s="59" t="s">
        <v>262</v>
      </c>
      <c r="G84" s="59" t="s">
        <v>322</v>
      </c>
      <c r="H84" s="59" t="s">
        <v>323</v>
      </c>
      <c r="I84" s="71"/>
    </row>
    <row r="85" spans="3:9" ht="24.75" customHeight="1" thickTop="1">
      <c r="C85" s="42"/>
      <c r="D85" s="60">
        <f>D74</f>
        <v>6</v>
      </c>
      <c r="E85" s="64" t="s">
        <v>316</v>
      </c>
      <c r="F85" s="72">
        <f>G80</f>
        <v>4833.599999999999</v>
      </c>
      <c r="G85" s="72">
        <f>F85/12</f>
        <v>402.79999999999995</v>
      </c>
      <c r="H85" s="62">
        <f>H80</f>
        <v>850.7136</v>
      </c>
      <c r="I85" s="4"/>
    </row>
    <row r="86" spans="3:9" ht="24.75" customHeight="1">
      <c r="C86" s="42"/>
      <c r="D86" s="63" t="str">
        <f>D81</f>
        <v>7 e 8</v>
      </c>
      <c r="E86" s="64" t="s">
        <v>317</v>
      </c>
      <c r="F86" s="73">
        <f>G81</f>
        <v>4934.3</v>
      </c>
      <c r="G86" s="73">
        <f>F86/12</f>
        <v>411.19166666666666</v>
      </c>
      <c r="H86" s="62">
        <f>H81</f>
        <v>3419.4699</v>
      </c>
      <c r="I86" s="71"/>
    </row>
    <row r="87" spans="3:9" ht="24.75" customHeight="1">
      <c r="C87" s="42"/>
      <c r="D87" s="66"/>
      <c r="E87" s="67"/>
      <c r="F87" s="75"/>
      <c r="G87" s="74" t="s">
        <v>320</v>
      </c>
      <c r="H87" s="74">
        <f>SUM(H85:H86)</f>
        <v>4270.1835</v>
      </c>
      <c r="I87" s="71"/>
    </row>
    <row r="88" spans="3:9" ht="21" customHeight="1">
      <c r="C88" s="42"/>
      <c r="D88" s="66"/>
      <c r="E88" s="67"/>
      <c r="F88" s="66"/>
      <c r="G88" s="76" t="s">
        <v>324</v>
      </c>
      <c r="H88" s="92">
        <f>H87/H92</f>
        <v>75.72321428571429</v>
      </c>
      <c r="I88" s="4"/>
    </row>
    <row r="89" spans="3:9" ht="24.75" customHeight="1">
      <c r="C89" s="42"/>
      <c r="D89" s="26" t="s">
        <v>336</v>
      </c>
      <c r="E89" s="55"/>
      <c r="F89" s="67"/>
      <c r="G89" s="68"/>
      <c r="H89" s="68"/>
      <c r="I89" s="71"/>
    </row>
    <row r="90" spans="3:9" ht="24.75" customHeight="1" thickBot="1">
      <c r="C90" s="42"/>
      <c r="D90" s="59"/>
      <c r="E90" s="59" t="s">
        <v>343</v>
      </c>
      <c r="F90" s="59" t="s">
        <v>263</v>
      </c>
      <c r="G90" s="59" t="s">
        <v>339</v>
      </c>
      <c r="H90" s="59" t="s">
        <v>329</v>
      </c>
      <c r="I90" s="71"/>
    </row>
    <row r="91" spans="3:9" ht="24.75" customHeight="1" thickTop="1">
      <c r="C91" s="42"/>
      <c r="D91" s="60"/>
      <c r="E91" s="72">
        <f>F70</f>
        <v>704.9</v>
      </c>
      <c r="F91" s="93">
        <v>0.2</v>
      </c>
      <c r="G91" s="93">
        <v>0.4</v>
      </c>
      <c r="H91" s="62">
        <f>E91*F91*G91</f>
        <v>56.391999999999996</v>
      </c>
      <c r="I91" s="71"/>
    </row>
    <row r="92" spans="3:9" ht="24.75" customHeight="1">
      <c r="C92" s="42"/>
      <c r="D92" s="26"/>
      <c r="E92" s="55"/>
      <c r="F92" s="67"/>
      <c r="G92" s="74" t="s">
        <v>325</v>
      </c>
      <c r="H92" s="74">
        <f>H91</f>
        <v>56.391999999999996</v>
      </c>
      <c r="I92" s="71"/>
    </row>
    <row r="93" spans="3:9" ht="24.75" customHeight="1">
      <c r="C93" s="42"/>
      <c r="D93" s="26" t="s">
        <v>340</v>
      </c>
      <c r="E93" s="75"/>
      <c r="F93" s="75"/>
      <c r="G93" s="75"/>
      <c r="H93" s="75"/>
      <c r="I93" s="71"/>
    </row>
    <row r="94" spans="3:9" ht="24.75" customHeight="1" thickBot="1">
      <c r="C94" s="42"/>
      <c r="D94" s="59"/>
      <c r="E94" s="59" t="s">
        <v>343</v>
      </c>
      <c r="F94" s="59" t="s">
        <v>339</v>
      </c>
      <c r="G94" s="59" t="s">
        <v>344</v>
      </c>
      <c r="H94" s="59" t="s">
        <v>329</v>
      </c>
      <c r="I94" s="71"/>
    </row>
    <row r="95" spans="3:9" ht="24.75" customHeight="1" thickTop="1">
      <c r="C95" s="42"/>
      <c r="D95" s="60"/>
      <c r="E95" s="72">
        <f>F70</f>
        <v>704.9</v>
      </c>
      <c r="F95" s="93">
        <v>0.4</v>
      </c>
      <c r="G95" s="93">
        <v>2</v>
      </c>
      <c r="H95" s="62">
        <f>E95*F95*G95/3</f>
        <v>187.97333333333333</v>
      </c>
      <c r="I95" s="71"/>
    </row>
    <row r="96" spans="3:9" ht="24.75" customHeight="1">
      <c r="C96" s="42"/>
      <c r="D96" s="66"/>
      <c r="E96" s="75"/>
      <c r="F96" s="75"/>
      <c r="G96" s="74" t="s">
        <v>126</v>
      </c>
      <c r="H96" s="74">
        <f>SUM(H95:H95)</f>
        <v>187.97333333333333</v>
      </c>
      <c r="I96" s="71"/>
    </row>
    <row r="97" spans="3:9" ht="13.5" customHeight="1" thickBot="1">
      <c r="C97" s="46"/>
      <c r="D97" s="78"/>
      <c r="E97" s="79"/>
      <c r="F97" s="79"/>
      <c r="G97" s="80"/>
      <c r="H97" s="80"/>
      <c r="I97" s="81"/>
    </row>
    <row r="98" spans="2:9" s="51" customFormat="1" ht="12.75" customHeight="1" thickBot="1">
      <c r="B98" s="52"/>
      <c r="C98" s="52"/>
      <c r="D98" s="53"/>
      <c r="E98" s="54"/>
      <c r="F98" s="54"/>
      <c r="G98" s="55"/>
      <c r="H98" s="54"/>
      <c r="I98" s="54"/>
    </row>
    <row r="99" spans="3:9" ht="24.75">
      <c r="C99" s="40"/>
      <c r="D99" s="56" t="s">
        <v>345</v>
      </c>
      <c r="E99" s="41"/>
      <c r="F99" s="94"/>
      <c r="G99" s="95" t="s">
        <v>346</v>
      </c>
      <c r="H99" s="41"/>
      <c r="I99" s="3"/>
    </row>
    <row r="100" spans="3:9" ht="24.75">
      <c r="C100" s="42"/>
      <c r="D100" s="83"/>
      <c r="E100" s="54"/>
      <c r="F100" s="160">
        <v>282</v>
      </c>
      <c r="G100" s="96" t="s">
        <v>347</v>
      </c>
      <c r="H100" s="54"/>
      <c r="I100" s="4"/>
    </row>
    <row r="101" spans="3:9" ht="24.75">
      <c r="C101" s="42"/>
      <c r="D101" s="83"/>
      <c r="E101" s="54"/>
      <c r="F101" s="57"/>
      <c r="G101" s="96" t="s">
        <v>348</v>
      </c>
      <c r="H101" s="54"/>
      <c r="I101" s="4"/>
    </row>
    <row r="102" spans="3:9" ht="18">
      <c r="C102" s="42"/>
      <c r="D102" s="26" t="s">
        <v>313</v>
      </c>
      <c r="E102" s="54"/>
      <c r="F102" s="54"/>
      <c r="G102" s="55"/>
      <c r="H102" s="54"/>
      <c r="I102" s="4"/>
    </row>
    <row r="103" spans="3:9" ht="24.75" customHeight="1" thickBot="1">
      <c r="C103" s="42"/>
      <c r="D103" s="58" t="s">
        <v>314</v>
      </c>
      <c r="E103" s="59" t="s">
        <v>315</v>
      </c>
      <c r="F103" s="59" t="s">
        <v>69</v>
      </c>
      <c r="G103" s="59" t="s">
        <v>262</v>
      </c>
      <c r="H103" s="59" t="s">
        <v>61</v>
      </c>
      <c r="I103" s="4"/>
    </row>
    <row r="104" spans="3:9" ht="10.5" customHeight="1" thickTop="1">
      <c r="C104" s="42"/>
      <c r="D104" s="86"/>
      <c r="E104" s="87"/>
      <c r="F104" s="87"/>
      <c r="G104" s="87"/>
      <c r="H104" s="87"/>
      <c r="I104" s="4"/>
    </row>
    <row r="105" spans="3:9" ht="24.75" customHeight="1">
      <c r="C105" s="42"/>
      <c r="D105" s="63">
        <v>9</v>
      </c>
      <c r="E105" s="64" t="s">
        <v>349</v>
      </c>
      <c r="F105" s="63">
        <f>F99*20</f>
        <v>0</v>
      </c>
      <c r="G105" s="65">
        <v>0.85</v>
      </c>
      <c r="H105" s="65">
        <f aca="true" t="shared" si="4" ref="H105:H110">G105*F105</f>
        <v>0</v>
      </c>
      <c r="I105" s="4"/>
    </row>
    <row r="106" spans="3:9" ht="24.75" customHeight="1">
      <c r="C106" s="42"/>
      <c r="D106" s="63">
        <f>D105+1</f>
        <v>10</v>
      </c>
      <c r="E106" s="64" t="s">
        <v>317</v>
      </c>
      <c r="F106" s="63">
        <f>F99*6</f>
        <v>0</v>
      </c>
      <c r="G106" s="65">
        <v>4</v>
      </c>
      <c r="H106" s="65">
        <f t="shared" si="4"/>
        <v>0</v>
      </c>
      <c r="I106" s="4"/>
    </row>
    <row r="107" spans="3:9" ht="24.75" customHeight="1">
      <c r="C107" s="42"/>
      <c r="D107" s="63" t="s">
        <v>350</v>
      </c>
      <c r="E107" s="64" t="s">
        <v>349</v>
      </c>
      <c r="F107" s="63">
        <f>F100*10</f>
        <v>2820</v>
      </c>
      <c r="G107" s="65">
        <v>0.55</v>
      </c>
      <c r="H107" s="65">
        <f t="shared" si="4"/>
        <v>1551.0000000000002</v>
      </c>
      <c r="I107" s="4"/>
    </row>
    <row r="108" spans="3:9" ht="24.75" customHeight="1">
      <c r="C108" s="42"/>
      <c r="D108" s="63" t="s">
        <v>351</v>
      </c>
      <c r="E108" s="64" t="s">
        <v>317</v>
      </c>
      <c r="F108" s="63">
        <f>F100*4</f>
        <v>1128</v>
      </c>
      <c r="G108" s="65">
        <v>2.3</v>
      </c>
      <c r="H108" s="65">
        <f t="shared" si="4"/>
        <v>2594.3999999999996</v>
      </c>
      <c r="I108" s="4"/>
    </row>
    <row r="109" spans="3:9" ht="24.75" customHeight="1">
      <c r="C109" s="42"/>
      <c r="D109" s="63">
        <v>11</v>
      </c>
      <c r="E109" s="64" t="s">
        <v>349</v>
      </c>
      <c r="F109" s="63">
        <f>30*F101</f>
        <v>0</v>
      </c>
      <c r="G109" s="65">
        <v>2.3</v>
      </c>
      <c r="H109" s="65">
        <f t="shared" si="4"/>
        <v>0</v>
      </c>
      <c r="I109" s="4"/>
    </row>
    <row r="110" spans="3:9" ht="24.75" customHeight="1">
      <c r="C110" s="42"/>
      <c r="D110" s="63">
        <f>D109+1</f>
        <v>12</v>
      </c>
      <c r="E110" s="64" t="s">
        <v>352</v>
      </c>
      <c r="F110" s="63">
        <f>12*F101</f>
        <v>0</v>
      </c>
      <c r="G110" s="65">
        <v>6</v>
      </c>
      <c r="H110" s="65">
        <f t="shared" si="4"/>
        <v>0</v>
      </c>
      <c r="I110" s="4"/>
    </row>
    <row r="111" spans="3:9" ht="24.75" customHeight="1">
      <c r="C111" s="42"/>
      <c r="D111" s="66"/>
      <c r="E111" s="67"/>
      <c r="F111" s="66"/>
      <c r="G111" s="68"/>
      <c r="H111" s="68"/>
      <c r="I111" s="4"/>
    </row>
    <row r="112" spans="3:9" ht="10.5" customHeight="1">
      <c r="C112" s="42"/>
      <c r="D112" s="66"/>
      <c r="E112" s="67"/>
      <c r="F112" s="66"/>
      <c r="G112" s="68"/>
      <c r="H112" s="68"/>
      <c r="I112" s="4"/>
    </row>
    <row r="113" spans="3:9" ht="24.75" customHeight="1">
      <c r="C113" s="42"/>
      <c r="D113" s="26" t="s">
        <v>318</v>
      </c>
      <c r="E113" s="55"/>
      <c r="F113" s="67"/>
      <c r="G113" s="68"/>
      <c r="H113" s="68"/>
      <c r="I113" s="71"/>
    </row>
    <row r="114" spans="3:9" ht="24.75" customHeight="1" thickBot="1">
      <c r="C114" s="42"/>
      <c r="D114" s="58" t="s">
        <v>314</v>
      </c>
      <c r="E114" s="59" t="s">
        <v>315</v>
      </c>
      <c r="F114" s="59" t="s">
        <v>319</v>
      </c>
      <c r="G114" s="59" t="s">
        <v>262</v>
      </c>
      <c r="H114" s="59" t="s">
        <v>353</v>
      </c>
      <c r="I114" s="71"/>
    </row>
    <row r="115" spans="3:9" ht="24.75" customHeight="1" thickTop="1">
      <c r="C115" s="42"/>
      <c r="D115" s="63" t="s">
        <v>354</v>
      </c>
      <c r="E115" s="64" t="s">
        <v>316</v>
      </c>
      <c r="F115" s="73">
        <v>0.16</v>
      </c>
      <c r="G115" s="73">
        <f>SUM(H109,H107,H105)</f>
        <v>1551.0000000000002</v>
      </c>
      <c r="H115" s="65">
        <f>G115*F115*1.1</f>
        <v>272.97600000000006</v>
      </c>
      <c r="I115" s="4"/>
    </row>
    <row r="116" spans="3:9" ht="24.75" customHeight="1">
      <c r="C116" s="42"/>
      <c r="D116" s="63" t="s">
        <v>355</v>
      </c>
      <c r="E116" s="61" t="s">
        <v>317</v>
      </c>
      <c r="F116" s="72">
        <v>0.63</v>
      </c>
      <c r="G116" s="73">
        <f>SUM(H106,H108)</f>
        <v>2594.3999999999996</v>
      </c>
      <c r="H116" s="65">
        <f>G116*F116*1.1</f>
        <v>1797.9191999999998</v>
      </c>
      <c r="I116" s="4"/>
    </row>
    <row r="117" spans="3:9" ht="24.75" customHeight="1">
      <c r="C117" s="42"/>
      <c r="D117" s="63">
        <v>12</v>
      </c>
      <c r="E117" s="61" t="s">
        <v>352</v>
      </c>
      <c r="F117" s="72">
        <v>1</v>
      </c>
      <c r="G117" s="73">
        <f>SUM(H110)</f>
        <v>0</v>
      </c>
      <c r="H117" s="65">
        <f>G117*F117*1.1</f>
        <v>0</v>
      </c>
      <c r="I117" s="4"/>
    </row>
    <row r="118" spans="3:9" ht="24.75" customHeight="1">
      <c r="C118" s="42"/>
      <c r="D118" s="53"/>
      <c r="E118" s="55"/>
      <c r="F118" s="67"/>
      <c r="G118" s="74" t="s">
        <v>320</v>
      </c>
      <c r="H118" s="74">
        <f>SUM(H115:H117)</f>
        <v>2070.8952</v>
      </c>
      <c r="I118" s="71"/>
    </row>
    <row r="119" spans="3:9" ht="18">
      <c r="C119" s="42"/>
      <c r="D119" s="26" t="s">
        <v>321</v>
      </c>
      <c r="E119" s="55"/>
      <c r="F119" s="67"/>
      <c r="G119" s="68"/>
      <c r="H119" s="68"/>
      <c r="I119" s="4"/>
    </row>
    <row r="120" spans="3:9" ht="24.75" customHeight="1" thickBot="1">
      <c r="C120" s="42"/>
      <c r="D120" s="58" t="s">
        <v>314</v>
      </c>
      <c r="E120" s="59" t="s">
        <v>315</v>
      </c>
      <c r="F120" s="59" t="s">
        <v>262</v>
      </c>
      <c r="G120" s="59" t="s">
        <v>322</v>
      </c>
      <c r="H120" s="59" t="s">
        <v>323</v>
      </c>
      <c r="I120" s="71"/>
    </row>
    <row r="121" spans="3:9" ht="24.75" customHeight="1" thickTop="1">
      <c r="C121" s="42"/>
      <c r="D121" s="63" t="s">
        <v>354</v>
      </c>
      <c r="E121" s="64" t="s">
        <v>316</v>
      </c>
      <c r="F121" s="73">
        <f>G115</f>
        <v>1551.0000000000002</v>
      </c>
      <c r="G121" s="73">
        <f>F121/12</f>
        <v>129.25000000000003</v>
      </c>
      <c r="H121" s="65">
        <f>H115</f>
        <v>272.97600000000006</v>
      </c>
      <c r="I121" s="4"/>
    </row>
    <row r="122" spans="3:9" ht="24.75" customHeight="1">
      <c r="C122" s="42"/>
      <c r="D122" s="63" t="s">
        <v>355</v>
      </c>
      <c r="E122" s="61" t="s">
        <v>317</v>
      </c>
      <c r="F122" s="73">
        <f>G116</f>
        <v>2594.3999999999996</v>
      </c>
      <c r="G122" s="72">
        <f>F122/12</f>
        <v>216.19999999999996</v>
      </c>
      <c r="H122" s="65">
        <f>H116</f>
        <v>1797.9191999999998</v>
      </c>
      <c r="I122" s="71"/>
    </row>
    <row r="123" spans="3:9" ht="24.75" customHeight="1">
      <c r="C123" s="42"/>
      <c r="D123" s="63">
        <v>12</v>
      </c>
      <c r="E123" s="61" t="s">
        <v>352</v>
      </c>
      <c r="F123" s="73">
        <f>G117</f>
        <v>0</v>
      </c>
      <c r="G123" s="72">
        <f>F123/12</f>
        <v>0</v>
      </c>
      <c r="H123" s="65">
        <f>H117</f>
        <v>0</v>
      </c>
      <c r="I123" s="71"/>
    </row>
    <row r="124" spans="3:9" ht="24.75" customHeight="1">
      <c r="C124" s="42"/>
      <c r="D124" s="66"/>
      <c r="E124" s="67"/>
      <c r="F124" s="75"/>
      <c r="G124" s="74" t="s">
        <v>320</v>
      </c>
      <c r="H124" s="74">
        <f>SUM(H121:H123)</f>
        <v>2070.8952</v>
      </c>
      <c r="I124" s="71"/>
    </row>
    <row r="125" spans="3:9" ht="10.5" customHeight="1">
      <c r="C125" s="42"/>
      <c r="D125" s="66"/>
      <c r="E125" s="67"/>
      <c r="F125" s="66"/>
      <c r="G125" s="68"/>
      <c r="H125" s="68"/>
      <c r="I125" s="4"/>
    </row>
    <row r="126" spans="3:9" ht="24.75" customHeight="1">
      <c r="C126" s="42"/>
      <c r="D126" s="26" t="s">
        <v>336</v>
      </c>
      <c r="E126" s="55"/>
      <c r="F126" s="67"/>
      <c r="G126" s="68"/>
      <c r="H126" s="68"/>
      <c r="I126" s="71"/>
    </row>
    <row r="127" spans="3:9" ht="24.75" customHeight="1" thickBot="1">
      <c r="C127" s="42"/>
      <c r="D127" s="59" t="s">
        <v>337</v>
      </c>
      <c r="E127" s="59" t="s">
        <v>343</v>
      </c>
      <c r="F127" s="59" t="s">
        <v>263</v>
      </c>
      <c r="G127" s="59" t="s">
        <v>339</v>
      </c>
      <c r="H127" s="59" t="s">
        <v>329</v>
      </c>
      <c r="I127" s="71"/>
    </row>
    <row r="128" spans="3:9" ht="24.75" customHeight="1" thickTop="1">
      <c r="C128" s="42"/>
      <c r="D128" s="60">
        <f>F99</f>
        <v>0</v>
      </c>
      <c r="E128" s="159">
        <v>0.3</v>
      </c>
      <c r="F128" s="159">
        <v>0.13</v>
      </c>
      <c r="G128" s="159">
        <v>3.5</v>
      </c>
      <c r="H128" s="62">
        <f>D128*E128*F128*G128</f>
        <v>0</v>
      </c>
      <c r="I128" s="71"/>
    </row>
    <row r="129" spans="3:9" ht="24.75" customHeight="1">
      <c r="C129" s="42"/>
      <c r="D129" s="60">
        <f>F100</f>
        <v>282</v>
      </c>
      <c r="E129" s="159">
        <v>0.2</v>
      </c>
      <c r="F129" s="159">
        <v>0.1</v>
      </c>
      <c r="G129" s="159">
        <v>2</v>
      </c>
      <c r="H129" s="62">
        <f>D129*E129*F129*G129</f>
        <v>11.280000000000001</v>
      </c>
      <c r="I129" s="71"/>
    </row>
    <row r="130" spans="3:9" ht="24.75" customHeight="1">
      <c r="C130" s="42"/>
      <c r="D130" s="60">
        <f>F101</f>
        <v>0</v>
      </c>
      <c r="E130" s="159">
        <v>1</v>
      </c>
      <c r="F130" s="159">
        <v>0.15</v>
      </c>
      <c r="G130" s="159">
        <v>6</v>
      </c>
      <c r="H130" s="62">
        <f>D130*E130*F130*G130</f>
        <v>0</v>
      </c>
      <c r="I130" s="71"/>
    </row>
    <row r="131" spans="3:9" ht="24.75" customHeight="1">
      <c r="C131" s="42"/>
      <c r="D131" s="26"/>
      <c r="E131" s="55"/>
      <c r="F131" s="67"/>
      <c r="G131" s="74" t="s">
        <v>325</v>
      </c>
      <c r="H131" s="74">
        <f>SUM(H128:H130)</f>
        <v>11.280000000000001</v>
      </c>
      <c r="I131" s="71"/>
    </row>
    <row r="132" spans="3:9" ht="24.75" customHeight="1">
      <c r="C132" s="42"/>
      <c r="D132" s="26" t="s">
        <v>340</v>
      </c>
      <c r="E132" s="75"/>
      <c r="F132" s="75"/>
      <c r="G132" s="75"/>
      <c r="H132" s="75"/>
      <c r="I132" s="71"/>
    </row>
    <row r="133" spans="3:9" ht="24.75" customHeight="1" thickBot="1">
      <c r="C133" s="42"/>
      <c r="D133" s="59" t="s">
        <v>337</v>
      </c>
      <c r="E133" s="59" t="s">
        <v>343</v>
      </c>
      <c r="F133" s="59" t="s">
        <v>263</v>
      </c>
      <c r="G133" s="59" t="s">
        <v>339</v>
      </c>
      <c r="H133" s="59" t="s">
        <v>329</v>
      </c>
      <c r="I133" s="71"/>
    </row>
    <row r="134" spans="3:9" ht="24.75" customHeight="1" thickTop="1">
      <c r="C134" s="42"/>
      <c r="D134" s="60">
        <f aca="true" t="shared" si="5" ref="D134:G136">D128</f>
        <v>0</v>
      </c>
      <c r="E134" s="159">
        <f t="shared" si="5"/>
        <v>0.3</v>
      </c>
      <c r="F134" s="159">
        <f t="shared" si="5"/>
        <v>0.13</v>
      </c>
      <c r="G134" s="159">
        <f t="shared" si="5"/>
        <v>3.5</v>
      </c>
      <c r="H134" s="62">
        <f>(D134*((E134+F134)*2)*G134)/3</f>
        <v>0</v>
      </c>
      <c r="I134" s="71"/>
    </row>
    <row r="135" spans="3:9" ht="24.75" customHeight="1">
      <c r="C135" s="42"/>
      <c r="D135" s="60">
        <f t="shared" si="5"/>
        <v>282</v>
      </c>
      <c r="E135" s="159">
        <f t="shared" si="5"/>
        <v>0.2</v>
      </c>
      <c r="F135" s="159">
        <f t="shared" si="5"/>
        <v>0.1</v>
      </c>
      <c r="G135" s="159">
        <f t="shared" si="5"/>
        <v>2</v>
      </c>
      <c r="H135" s="62">
        <f>(D135*((E135+F135)*2)*G135)/3</f>
        <v>112.80000000000001</v>
      </c>
      <c r="I135" s="71"/>
    </row>
    <row r="136" spans="3:9" ht="24.75" customHeight="1">
      <c r="C136" s="42"/>
      <c r="D136" s="60">
        <f t="shared" si="5"/>
        <v>0</v>
      </c>
      <c r="E136" s="159">
        <f t="shared" si="5"/>
        <v>1</v>
      </c>
      <c r="F136" s="159">
        <f t="shared" si="5"/>
        <v>0.15</v>
      </c>
      <c r="G136" s="159">
        <f t="shared" si="5"/>
        <v>6</v>
      </c>
      <c r="H136" s="62">
        <f>(D136*((E136+F136)*2)*G136)</f>
        <v>0</v>
      </c>
      <c r="I136" s="71"/>
    </row>
    <row r="137" spans="3:9" ht="24.75" customHeight="1">
      <c r="C137" s="42"/>
      <c r="D137" s="66"/>
      <c r="E137" s="97"/>
      <c r="F137" s="97"/>
      <c r="G137" s="93"/>
      <c r="H137" s="62"/>
      <c r="I137" s="71"/>
    </row>
    <row r="138" spans="3:9" ht="24.75" customHeight="1">
      <c r="C138" s="42"/>
      <c r="D138" s="66"/>
      <c r="E138" s="75"/>
      <c r="F138" s="75"/>
      <c r="G138" s="74" t="s">
        <v>126</v>
      </c>
      <c r="H138" s="74">
        <f>SUM(H134:H136)</f>
        <v>112.80000000000001</v>
      </c>
      <c r="I138" s="71"/>
    </row>
    <row r="139" spans="3:9" ht="13.5" customHeight="1" thickBot="1">
      <c r="C139" s="46"/>
      <c r="D139" s="78"/>
      <c r="E139" s="79"/>
      <c r="F139" s="79"/>
      <c r="G139" s="80"/>
      <c r="H139" s="80"/>
      <c r="I139" s="81"/>
    </row>
    <row r="140" spans="2:9" s="51" customFormat="1" ht="12.75" customHeight="1" thickBot="1">
      <c r="B140" s="52"/>
      <c r="C140" s="52"/>
      <c r="D140" s="53"/>
      <c r="E140" s="54"/>
      <c r="F140" s="54"/>
      <c r="G140" s="55"/>
      <c r="H140" s="54"/>
      <c r="I140" s="54"/>
    </row>
    <row r="141" spans="3:15" ht="24.75">
      <c r="C141" s="40"/>
      <c r="D141" s="56" t="s">
        <v>356</v>
      </c>
      <c r="E141" s="41"/>
      <c r="F141" s="41"/>
      <c r="G141" s="57">
        <f>F70</f>
        <v>704.9</v>
      </c>
      <c r="H141" s="41" t="s">
        <v>264</v>
      </c>
      <c r="I141" s="3"/>
      <c r="M141" s="2">
        <v>6.15</v>
      </c>
      <c r="N141" s="2">
        <v>5</v>
      </c>
      <c r="O141" s="2">
        <f>N141*M141</f>
        <v>30.75</v>
      </c>
    </row>
    <row r="142" spans="3:16" ht="18">
      <c r="C142" s="42"/>
      <c r="D142" s="26" t="s">
        <v>313</v>
      </c>
      <c r="E142" s="54"/>
      <c r="F142" s="54"/>
      <c r="G142" s="55"/>
      <c r="H142" s="54"/>
      <c r="I142" s="4"/>
      <c r="M142" s="2">
        <v>18.4</v>
      </c>
      <c r="N142" s="2">
        <v>3</v>
      </c>
      <c r="O142" s="2">
        <f>N142*M142</f>
        <v>55.199999999999996</v>
      </c>
      <c r="P142" s="2">
        <f>O142+O141</f>
        <v>85.94999999999999</v>
      </c>
    </row>
    <row r="143" spans="3:15" ht="24.75" customHeight="1" thickBot="1">
      <c r="C143" s="42"/>
      <c r="D143" s="58" t="s">
        <v>314</v>
      </c>
      <c r="E143" s="59" t="s">
        <v>315</v>
      </c>
      <c r="F143" s="59" t="s">
        <v>69</v>
      </c>
      <c r="G143" s="59" t="s">
        <v>262</v>
      </c>
      <c r="H143" s="59" t="s">
        <v>61</v>
      </c>
      <c r="I143" s="4"/>
      <c r="M143" s="2">
        <v>12</v>
      </c>
      <c r="N143" s="2">
        <v>2</v>
      </c>
      <c r="O143" s="2">
        <f>N143*M143</f>
        <v>24</v>
      </c>
    </row>
    <row r="144" spans="3:14" ht="12.75" customHeight="1" thickTop="1">
      <c r="C144" s="42"/>
      <c r="D144" s="86"/>
      <c r="E144" s="87"/>
      <c r="F144" s="87"/>
      <c r="G144" s="87"/>
      <c r="H144" s="87"/>
      <c r="I144" s="4"/>
      <c r="N144" s="98"/>
    </row>
    <row r="145" spans="3:9" ht="24.75" customHeight="1">
      <c r="C145" s="42"/>
      <c r="D145" s="63">
        <v>13</v>
      </c>
      <c r="E145" s="64" t="s">
        <v>333</v>
      </c>
      <c r="F145" s="63">
        <v>5</v>
      </c>
      <c r="G145" s="65">
        <f>G141</f>
        <v>704.9</v>
      </c>
      <c r="H145" s="65">
        <f>G145*F145</f>
        <v>3524.5</v>
      </c>
      <c r="I145" s="4"/>
    </row>
    <row r="146" spans="3:9" ht="24.75" customHeight="1">
      <c r="C146" s="42"/>
      <c r="D146" s="63">
        <f>D145+1</f>
        <v>14</v>
      </c>
      <c r="E146" s="64" t="s">
        <v>316</v>
      </c>
      <c r="F146" s="63">
        <f>G141/0.175</f>
        <v>4028</v>
      </c>
      <c r="G146" s="65">
        <v>0.85</v>
      </c>
      <c r="H146" s="65">
        <f>G146*F146</f>
        <v>3423.7999999999997</v>
      </c>
      <c r="I146" s="4"/>
    </row>
    <row r="147" spans="3:9" ht="24.75" customHeight="1" thickBot="1">
      <c r="C147" s="42"/>
      <c r="D147" s="89">
        <f>D146+1</f>
        <v>15</v>
      </c>
      <c r="E147" s="90" t="s">
        <v>333</v>
      </c>
      <c r="F147" s="89">
        <v>4</v>
      </c>
      <c r="G147" s="91">
        <v>50.05</v>
      </c>
      <c r="H147" s="65">
        <f>G147*F147</f>
        <v>200.2</v>
      </c>
      <c r="I147" s="4"/>
    </row>
    <row r="148" spans="3:9" ht="10.5" customHeight="1" thickTop="1">
      <c r="C148" s="42"/>
      <c r="D148" s="66"/>
      <c r="E148" s="67"/>
      <c r="F148" s="66"/>
      <c r="G148" s="68"/>
      <c r="H148" s="68"/>
      <c r="I148" s="4"/>
    </row>
    <row r="149" spans="3:9" ht="24.75" customHeight="1">
      <c r="C149" s="42"/>
      <c r="D149" s="26" t="s">
        <v>318</v>
      </c>
      <c r="E149" s="55"/>
      <c r="F149" s="67"/>
      <c r="G149" s="68"/>
      <c r="H149" s="68"/>
      <c r="I149" s="71"/>
    </row>
    <row r="150" spans="3:9" ht="24.75" customHeight="1" thickBot="1">
      <c r="C150" s="42"/>
      <c r="D150" s="58" t="s">
        <v>314</v>
      </c>
      <c r="E150" s="59" t="s">
        <v>315</v>
      </c>
      <c r="F150" s="59" t="s">
        <v>319</v>
      </c>
      <c r="G150" s="59" t="s">
        <v>262</v>
      </c>
      <c r="H150" s="59" t="s">
        <v>353</v>
      </c>
      <c r="I150" s="71"/>
    </row>
    <row r="151" spans="3:9" ht="24.75" customHeight="1" thickTop="1">
      <c r="C151" s="42"/>
      <c r="D151" s="60">
        <v>14</v>
      </c>
      <c r="E151" s="64" t="s">
        <v>316</v>
      </c>
      <c r="F151" s="72">
        <v>0.16</v>
      </c>
      <c r="G151" s="72">
        <f>H146</f>
        <v>3423.7999999999997</v>
      </c>
      <c r="H151" s="65">
        <f>G151*F151*1.1</f>
        <v>602.5888</v>
      </c>
      <c r="I151" s="4"/>
    </row>
    <row r="152" spans="3:9" ht="24.75" customHeight="1">
      <c r="C152" s="42"/>
      <c r="D152" s="63" t="s">
        <v>357</v>
      </c>
      <c r="E152" s="64" t="s">
        <v>333</v>
      </c>
      <c r="F152" s="73">
        <v>0.4</v>
      </c>
      <c r="G152" s="73">
        <f>H147+H145</f>
        <v>3724.7</v>
      </c>
      <c r="H152" s="65">
        <f>G152*F152*1.1</f>
        <v>1638.8680000000002</v>
      </c>
      <c r="I152" s="4"/>
    </row>
    <row r="153" spans="3:9" ht="24.75" customHeight="1">
      <c r="C153" s="42"/>
      <c r="D153" s="53"/>
      <c r="E153" s="55"/>
      <c r="F153" s="67"/>
      <c r="G153" s="74" t="s">
        <v>320</v>
      </c>
      <c r="H153" s="74">
        <f>SUM(H151:H152)</f>
        <v>2241.4568</v>
      </c>
      <c r="I153" s="71"/>
    </row>
    <row r="154" spans="3:9" ht="18">
      <c r="C154" s="42"/>
      <c r="D154" s="26" t="s">
        <v>321</v>
      </c>
      <c r="E154" s="55"/>
      <c r="F154" s="67"/>
      <c r="G154" s="68"/>
      <c r="H154" s="68"/>
      <c r="I154" s="4"/>
    </row>
    <row r="155" spans="3:9" ht="24.75" customHeight="1" thickBot="1">
      <c r="C155" s="42"/>
      <c r="D155" s="58" t="s">
        <v>314</v>
      </c>
      <c r="E155" s="59" t="s">
        <v>315</v>
      </c>
      <c r="F155" s="59" t="s">
        <v>262</v>
      </c>
      <c r="G155" s="59" t="s">
        <v>322</v>
      </c>
      <c r="H155" s="59" t="s">
        <v>323</v>
      </c>
      <c r="I155" s="71"/>
    </row>
    <row r="156" spans="3:9" ht="24.75" customHeight="1" thickTop="1">
      <c r="C156" s="42"/>
      <c r="D156" s="60">
        <f>D151</f>
        <v>14</v>
      </c>
      <c r="E156" s="64" t="s">
        <v>316</v>
      </c>
      <c r="F156" s="72">
        <f>G151</f>
        <v>3423.7999999999997</v>
      </c>
      <c r="G156" s="72">
        <f>F156/12</f>
        <v>285.31666666666666</v>
      </c>
      <c r="H156" s="62">
        <f>H151</f>
        <v>602.5888</v>
      </c>
      <c r="I156" s="4"/>
    </row>
    <row r="157" spans="3:9" ht="24.75" customHeight="1">
      <c r="C157" s="42"/>
      <c r="D157" s="60" t="str">
        <f>D152</f>
        <v>13 e 15</v>
      </c>
      <c r="E157" s="64" t="s">
        <v>333</v>
      </c>
      <c r="F157" s="73">
        <f>G152</f>
        <v>3724.7</v>
      </c>
      <c r="G157" s="73">
        <f>F157/12</f>
        <v>310.39166666666665</v>
      </c>
      <c r="H157" s="62">
        <f>H152</f>
        <v>1638.8680000000002</v>
      </c>
      <c r="I157" s="71"/>
    </row>
    <row r="158" spans="3:9" ht="24.75" customHeight="1">
      <c r="C158" s="42"/>
      <c r="D158" s="66"/>
      <c r="E158" s="67"/>
      <c r="F158" s="75"/>
      <c r="G158" s="74" t="s">
        <v>320</v>
      </c>
      <c r="H158" s="74">
        <f>SUM(H156:H157)</f>
        <v>2241.4568</v>
      </c>
      <c r="I158" s="71"/>
    </row>
    <row r="159" spans="3:9" ht="21" customHeight="1">
      <c r="C159" s="42"/>
      <c r="D159" s="66"/>
      <c r="E159" s="67"/>
      <c r="F159" s="66"/>
      <c r="G159" s="76" t="s">
        <v>324</v>
      </c>
      <c r="H159" s="92">
        <f>H158/H163</f>
        <v>81.53390733728371</v>
      </c>
      <c r="I159" s="4"/>
    </row>
    <row r="160" spans="3:9" ht="24.75" customHeight="1">
      <c r="C160" s="42"/>
      <c r="D160" s="26" t="s">
        <v>336</v>
      </c>
      <c r="E160" s="55"/>
      <c r="F160" s="67"/>
      <c r="G160" s="68"/>
      <c r="H160" s="68"/>
      <c r="I160" s="71"/>
    </row>
    <row r="161" spans="3:9" ht="24.75" customHeight="1" thickBot="1">
      <c r="C161" s="42"/>
      <c r="D161" s="59"/>
      <c r="E161" s="59" t="s">
        <v>343</v>
      </c>
      <c r="F161" s="59" t="s">
        <v>263</v>
      </c>
      <c r="G161" s="59" t="s">
        <v>339</v>
      </c>
      <c r="H161" s="59" t="s">
        <v>329</v>
      </c>
      <c r="I161" s="71"/>
    </row>
    <row r="162" spans="3:9" ht="24.75" customHeight="1" thickTop="1">
      <c r="C162" s="42"/>
      <c r="D162" s="60"/>
      <c r="E162" s="72">
        <f>G141</f>
        <v>704.9</v>
      </c>
      <c r="F162" s="93">
        <v>0.13</v>
      </c>
      <c r="G162" s="93">
        <v>0.3</v>
      </c>
      <c r="H162" s="62">
        <f>E162*F162*G162</f>
        <v>27.4911</v>
      </c>
      <c r="I162" s="71"/>
    </row>
    <row r="163" spans="3:9" ht="24.75" customHeight="1">
      <c r="C163" s="42"/>
      <c r="D163" s="26"/>
      <c r="E163" s="55"/>
      <c r="F163" s="67"/>
      <c r="G163" s="74" t="s">
        <v>325</v>
      </c>
      <c r="H163" s="74">
        <f>H162</f>
        <v>27.4911</v>
      </c>
      <c r="I163" s="71"/>
    </row>
    <row r="164" spans="3:9" ht="24.75" customHeight="1">
      <c r="C164" s="42"/>
      <c r="D164" s="26" t="s">
        <v>340</v>
      </c>
      <c r="E164" s="75"/>
      <c r="F164" s="75"/>
      <c r="G164" s="75"/>
      <c r="H164" s="75"/>
      <c r="I164" s="71"/>
    </row>
    <row r="165" spans="3:9" ht="24.75" customHeight="1" thickBot="1">
      <c r="C165" s="42"/>
      <c r="D165" s="59"/>
      <c r="E165" s="59" t="s">
        <v>343</v>
      </c>
      <c r="F165" s="59" t="s">
        <v>339</v>
      </c>
      <c r="G165" s="59" t="s">
        <v>344</v>
      </c>
      <c r="H165" s="59" t="s">
        <v>329</v>
      </c>
      <c r="I165" s="71"/>
    </row>
    <row r="166" spans="3:9" ht="24.75" customHeight="1" thickTop="1">
      <c r="C166" s="42"/>
      <c r="D166" s="60"/>
      <c r="E166" s="72">
        <f>G141</f>
        <v>704.9</v>
      </c>
      <c r="F166" s="93">
        <f>G162</f>
        <v>0.3</v>
      </c>
      <c r="G166" s="93">
        <v>2</v>
      </c>
      <c r="H166" s="62">
        <f>E166*F166*G166/3</f>
        <v>140.98</v>
      </c>
      <c r="I166" s="71"/>
    </row>
    <row r="167" spans="3:9" ht="24.75" customHeight="1">
      <c r="C167" s="42"/>
      <c r="D167" s="66"/>
      <c r="E167" s="75"/>
      <c r="F167" s="75"/>
      <c r="G167" s="74" t="s">
        <v>126</v>
      </c>
      <c r="H167" s="74">
        <f>SUM(H166:H166)</f>
        <v>140.98</v>
      </c>
      <c r="I167" s="71"/>
    </row>
    <row r="168" spans="3:9" ht="13.5" customHeight="1" thickBot="1">
      <c r="C168" s="46"/>
      <c r="D168" s="78"/>
      <c r="E168" s="79"/>
      <c r="F168" s="79"/>
      <c r="G168" s="80"/>
      <c r="H168" s="80"/>
      <c r="I168" s="81"/>
    </row>
    <row r="169" spans="2:9" s="51" customFormat="1" ht="12.75" customHeight="1">
      <c r="B169" s="52"/>
      <c r="C169" s="52"/>
      <c r="D169" s="53"/>
      <c r="E169" s="54"/>
      <c r="F169" s="54"/>
      <c r="G169" s="55"/>
      <c r="H169" s="54"/>
      <c r="I169" s="54"/>
    </row>
    <row r="170" spans="2:9" s="51" customFormat="1" ht="12.75" customHeight="1" thickBot="1">
      <c r="B170" s="52"/>
      <c r="C170" s="52"/>
      <c r="D170" s="53"/>
      <c r="E170" s="54"/>
      <c r="F170" s="54"/>
      <c r="G170" s="55"/>
      <c r="H170" s="54"/>
      <c r="I170" s="54"/>
    </row>
    <row r="171" spans="3:9" ht="24.75">
      <c r="C171" s="40"/>
      <c r="D171" s="56" t="s">
        <v>358</v>
      </c>
      <c r="E171" s="41"/>
      <c r="F171" s="99"/>
      <c r="G171" s="99"/>
      <c r="H171" s="41"/>
      <c r="I171" s="3"/>
    </row>
    <row r="172" spans="3:9" ht="24.75" customHeight="1">
      <c r="C172" s="42"/>
      <c r="D172" s="66"/>
      <c r="E172" s="67"/>
      <c r="F172" s="66"/>
      <c r="G172" s="68"/>
      <c r="H172" s="68"/>
      <c r="I172" s="4"/>
    </row>
    <row r="173" spans="3:9" ht="18">
      <c r="C173" s="42"/>
      <c r="D173" s="26" t="s">
        <v>318</v>
      </c>
      <c r="E173" s="55"/>
      <c r="F173" s="67"/>
      <c r="G173" s="68"/>
      <c r="H173" s="68"/>
      <c r="I173" s="71"/>
    </row>
    <row r="174" spans="3:9" ht="24.75" customHeight="1" thickBot="1">
      <c r="C174" s="42"/>
      <c r="D174" s="58" t="s">
        <v>314</v>
      </c>
      <c r="E174" s="59" t="s">
        <v>315</v>
      </c>
      <c r="F174" s="59" t="s">
        <v>319</v>
      </c>
      <c r="G174" s="59" t="s">
        <v>262</v>
      </c>
      <c r="H174" s="59" t="s">
        <v>353</v>
      </c>
      <c r="I174" s="71"/>
    </row>
    <row r="175" spans="3:9" ht="7.5" customHeight="1" thickTop="1">
      <c r="C175" s="42"/>
      <c r="D175" s="60"/>
      <c r="E175" s="61"/>
      <c r="F175" s="72"/>
      <c r="G175" s="72"/>
      <c r="H175" s="62"/>
      <c r="I175" s="4"/>
    </row>
    <row r="176" spans="3:9" ht="24.75" customHeight="1">
      <c r="C176" s="42"/>
      <c r="D176" s="63">
        <f>D175+1</f>
        <v>1</v>
      </c>
      <c r="E176" s="64" t="s">
        <v>316</v>
      </c>
      <c r="F176" s="73">
        <v>0.16</v>
      </c>
      <c r="G176" s="72">
        <f>SUM(G151,G115,G80,G24)</f>
        <v>12346.4</v>
      </c>
      <c r="H176" s="65">
        <f>G176*F176</f>
        <v>1975.424</v>
      </c>
      <c r="I176" s="4"/>
    </row>
    <row r="177" spans="3:9" ht="24.75" customHeight="1">
      <c r="C177" s="42"/>
      <c r="D177" s="63">
        <f>D176+1</f>
        <v>2</v>
      </c>
      <c r="E177" s="64" t="s">
        <v>335</v>
      </c>
      <c r="F177" s="73">
        <v>0.4</v>
      </c>
      <c r="G177" s="72">
        <f>SUM(G152,G50)</f>
        <v>9646.7</v>
      </c>
      <c r="H177" s="65">
        <f>G177*F177</f>
        <v>3858.6800000000003</v>
      </c>
      <c r="I177" s="4"/>
    </row>
    <row r="178" spans="3:9" ht="24.75" customHeight="1">
      <c r="C178" s="42"/>
      <c r="D178" s="63">
        <f>D177+1</f>
        <v>3</v>
      </c>
      <c r="E178" s="64" t="s">
        <v>317</v>
      </c>
      <c r="F178" s="73">
        <v>0.63</v>
      </c>
      <c r="G178" s="72">
        <f>SUM(G116,G81,G25)</f>
        <v>10912.7</v>
      </c>
      <c r="H178" s="65">
        <f>G178*F178</f>
        <v>6875.001</v>
      </c>
      <c r="I178" s="4"/>
    </row>
    <row r="179" spans="3:9" ht="24.75" customHeight="1">
      <c r="C179" s="42"/>
      <c r="D179" s="63">
        <f>D178+1</f>
        <v>4</v>
      </c>
      <c r="E179" s="64" t="s">
        <v>359</v>
      </c>
      <c r="F179" s="73">
        <v>1</v>
      </c>
      <c r="G179" s="72">
        <f>H117</f>
        <v>0</v>
      </c>
      <c r="H179" s="65">
        <f>G179*F179</f>
        <v>0</v>
      </c>
      <c r="I179" s="4"/>
    </row>
    <row r="180" spans="3:9" ht="23.25" customHeight="1">
      <c r="C180" s="42"/>
      <c r="D180" s="53"/>
      <c r="E180" s="55"/>
      <c r="F180" s="67"/>
      <c r="G180" s="74" t="s">
        <v>360</v>
      </c>
      <c r="H180" s="74">
        <f>SUM(H175:H179)*1.1</f>
        <v>13980.015500000001</v>
      </c>
      <c r="I180" s="71"/>
    </row>
    <row r="181" spans="3:9" ht="24.75" customHeight="1">
      <c r="C181" s="42"/>
      <c r="D181" s="26" t="s">
        <v>321</v>
      </c>
      <c r="E181" s="55"/>
      <c r="F181" s="67"/>
      <c r="G181" s="68"/>
      <c r="H181" s="68"/>
      <c r="I181" s="4"/>
    </row>
    <row r="182" spans="3:9" ht="24.75" customHeight="1" thickBot="1">
      <c r="C182" s="42"/>
      <c r="D182" s="58" t="s">
        <v>314</v>
      </c>
      <c r="E182" s="59" t="s">
        <v>315</v>
      </c>
      <c r="F182" s="59" t="s">
        <v>262</v>
      </c>
      <c r="G182" s="59" t="s">
        <v>322</v>
      </c>
      <c r="H182" s="59" t="s">
        <v>323</v>
      </c>
      <c r="I182" s="71"/>
    </row>
    <row r="183" spans="3:9" ht="24.75" customHeight="1" thickTop="1">
      <c r="C183" s="42"/>
      <c r="D183" s="60">
        <v>1</v>
      </c>
      <c r="E183" s="64" t="s">
        <v>316</v>
      </c>
      <c r="F183" s="72">
        <f>G176</f>
        <v>12346.4</v>
      </c>
      <c r="G183" s="72">
        <f>F183/12</f>
        <v>1028.8666666666666</v>
      </c>
      <c r="H183" s="62">
        <f>H176*1.1</f>
        <v>2172.9664000000002</v>
      </c>
      <c r="I183" s="4"/>
    </row>
    <row r="184" spans="3:9" ht="24.75" customHeight="1">
      <c r="C184" s="42"/>
      <c r="D184" s="63">
        <f>D183+1</f>
        <v>2</v>
      </c>
      <c r="E184" s="64" t="s">
        <v>335</v>
      </c>
      <c r="F184" s="73">
        <f>G177</f>
        <v>9646.7</v>
      </c>
      <c r="G184" s="73">
        <f>F184/12</f>
        <v>803.8916666666668</v>
      </c>
      <c r="H184" s="62">
        <f>H177*1.1</f>
        <v>4244.548000000001</v>
      </c>
      <c r="I184" s="4"/>
    </row>
    <row r="185" spans="3:9" ht="24.75" customHeight="1">
      <c r="C185" s="42"/>
      <c r="D185" s="63">
        <f>D184+1</f>
        <v>3</v>
      </c>
      <c r="E185" s="64" t="s">
        <v>317</v>
      </c>
      <c r="F185" s="73">
        <f>G178</f>
        <v>10912.7</v>
      </c>
      <c r="G185" s="73">
        <f>F185/12</f>
        <v>909.3916666666668</v>
      </c>
      <c r="H185" s="62">
        <f>H178*1.1</f>
        <v>7562.5011</v>
      </c>
      <c r="I185" s="4"/>
    </row>
    <row r="186" spans="3:9" ht="24.75" customHeight="1">
      <c r="C186" s="42"/>
      <c r="D186" s="63">
        <f>D185+1</f>
        <v>4</v>
      </c>
      <c r="E186" s="64" t="s">
        <v>359</v>
      </c>
      <c r="F186" s="73">
        <f>G179</f>
        <v>0</v>
      </c>
      <c r="G186" s="73">
        <f>F186/12</f>
        <v>0</v>
      </c>
      <c r="H186" s="62">
        <f>H179*1.1</f>
        <v>0</v>
      </c>
      <c r="I186" s="4"/>
    </row>
    <row r="187" spans="3:9" ht="24" customHeight="1">
      <c r="C187" s="42"/>
      <c r="D187" s="66"/>
      <c r="E187" s="67"/>
      <c r="F187" s="75"/>
      <c r="G187" s="74" t="s">
        <v>360</v>
      </c>
      <c r="H187" s="74">
        <f>SUM(H183:H186)</f>
        <v>13980.015500000001</v>
      </c>
      <c r="I187" s="71"/>
    </row>
    <row r="188" spans="2:29" s="51" customFormat="1" ht="12.75" customHeight="1">
      <c r="B188" s="52"/>
      <c r="C188" s="42"/>
      <c r="D188" s="66"/>
      <c r="E188" s="67"/>
      <c r="F188" s="66"/>
      <c r="G188" s="68"/>
      <c r="H188" s="68"/>
      <c r="I188" s="4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3:9" ht="18">
      <c r="C189" s="42"/>
      <c r="D189" s="26" t="s">
        <v>325</v>
      </c>
      <c r="E189" s="55"/>
      <c r="F189" s="67"/>
      <c r="G189" s="68"/>
      <c r="H189" s="68"/>
      <c r="I189" s="71"/>
    </row>
    <row r="190" spans="3:9" ht="24.75" customHeight="1">
      <c r="C190" s="42"/>
      <c r="D190" s="66"/>
      <c r="E190" s="100" t="s">
        <v>329</v>
      </c>
      <c r="F190" s="74">
        <f>SUM(H163,H131,H92,H61,H37)</f>
        <v>241.151539</v>
      </c>
      <c r="G190" s="66"/>
      <c r="I190" s="71"/>
    </row>
    <row r="191" spans="3:9" ht="24.75" customHeight="1">
      <c r="C191" s="42"/>
      <c r="D191" s="66"/>
      <c r="E191" s="100" t="s">
        <v>361</v>
      </c>
      <c r="F191" s="74">
        <f>H187/F190</f>
        <v>57.971910766034966</v>
      </c>
      <c r="G191" s="75"/>
      <c r="I191" s="71"/>
    </row>
    <row r="192" spans="3:9" ht="15.75" thickBot="1">
      <c r="C192" s="46"/>
      <c r="D192" s="78"/>
      <c r="E192" s="79"/>
      <c r="F192" s="79"/>
      <c r="G192" s="80"/>
      <c r="H192" s="80"/>
      <c r="I192" s="81"/>
    </row>
    <row r="194" spans="5:10" s="101" customFormat="1" ht="18">
      <c r="E194" s="102"/>
      <c r="F194" s="103"/>
      <c r="G194" s="104"/>
      <c r="H194" s="105"/>
      <c r="J194" s="106"/>
    </row>
    <row r="195" spans="5:10" s="19" customFormat="1" ht="15">
      <c r="E195" s="107"/>
      <c r="F195" s="2"/>
      <c r="G195" s="108"/>
      <c r="H195" s="109"/>
      <c r="J195" s="20"/>
    </row>
  </sheetData>
  <sheetProtection/>
  <mergeCells count="1">
    <mergeCell ref="E4:G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N91"/>
  <sheetViews>
    <sheetView zoomScalePageLayoutView="0" workbookViewId="0" topLeftCell="A58">
      <selection activeCell="E65" sqref="E65"/>
    </sheetView>
  </sheetViews>
  <sheetFormatPr defaultColWidth="9.140625" defaultRowHeight="12.75"/>
  <cols>
    <col min="3" max="3" width="9.57421875" style="0" bestFit="1" customWidth="1"/>
    <col min="4" max="4" width="9.28125" style="0" bestFit="1" customWidth="1"/>
    <col min="5" max="5" width="9.57421875" style="0" bestFit="1" customWidth="1"/>
    <col min="6" max="6" width="9.28125" style="0" bestFit="1" customWidth="1"/>
    <col min="7" max="7" width="13.28125" style="0" customWidth="1"/>
    <col min="8" max="8" width="5.00390625" style="0" customWidth="1"/>
    <col min="9" max="9" width="15.28125" style="0" customWidth="1"/>
    <col min="14" max="14" width="9.57421875" style="0" bestFit="1" customWidth="1"/>
  </cols>
  <sheetData>
    <row r="2" spans="3:14" ht="20.25" customHeight="1">
      <c r="C2" s="164" t="s">
        <v>373</v>
      </c>
      <c r="D2" s="165"/>
      <c r="E2" s="166"/>
      <c r="F2" s="166" t="s">
        <v>339</v>
      </c>
      <c r="G2" s="167">
        <v>2031.91</v>
      </c>
      <c r="H2" s="187"/>
      <c r="K2" s="349" t="s">
        <v>398</v>
      </c>
      <c r="L2" s="350"/>
      <c r="M2" s="351"/>
      <c r="N2" s="191">
        <v>2031.91</v>
      </c>
    </row>
    <row r="3" spans="3:14" ht="20.25" customHeight="1">
      <c r="C3" s="161">
        <v>9.46</v>
      </c>
      <c r="D3" s="161">
        <v>12</v>
      </c>
      <c r="E3" s="161">
        <f aca="true" t="shared" si="0" ref="E3:E10">D3*C3</f>
        <v>113.52000000000001</v>
      </c>
      <c r="F3" s="161">
        <v>3.5</v>
      </c>
      <c r="G3" s="161">
        <f>F3*E3</f>
        <v>397.32000000000005</v>
      </c>
      <c r="H3" s="161"/>
      <c r="I3" s="116"/>
      <c r="K3" s="161">
        <v>9.46</v>
      </c>
      <c r="L3" s="161">
        <v>2</v>
      </c>
      <c r="M3" s="161">
        <v>11</v>
      </c>
      <c r="N3" s="161">
        <f aca="true" t="shared" si="1" ref="N3:N8">K3*L3*M3</f>
        <v>208.12</v>
      </c>
    </row>
    <row r="4" spans="3:14" ht="20.25" customHeight="1">
      <c r="C4" s="161">
        <v>3.46</v>
      </c>
      <c r="D4" s="161">
        <v>11</v>
      </c>
      <c r="E4" s="161">
        <f t="shared" si="0"/>
        <v>38.06</v>
      </c>
      <c r="F4" s="161">
        <v>4.5</v>
      </c>
      <c r="G4" s="161">
        <f aca="true" t="shared" si="2" ref="G4:G15">F4*E4</f>
        <v>171.27</v>
      </c>
      <c r="H4" s="161"/>
      <c r="I4" s="116"/>
      <c r="K4" s="161">
        <v>3.46</v>
      </c>
      <c r="L4" s="161">
        <v>2</v>
      </c>
      <c r="M4" s="161">
        <v>11</v>
      </c>
      <c r="N4" s="161">
        <f t="shared" si="1"/>
        <v>76.12</v>
      </c>
    </row>
    <row r="5" spans="3:14" ht="20.25" customHeight="1">
      <c r="C5" s="161">
        <v>3.46</v>
      </c>
      <c r="D5" s="161">
        <v>11</v>
      </c>
      <c r="E5" s="161">
        <f t="shared" si="0"/>
        <v>38.06</v>
      </c>
      <c r="F5" s="161">
        <v>3.5</v>
      </c>
      <c r="G5" s="161">
        <f t="shared" si="2"/>
        <v>133.21</v>
      </c>
      <c r="H5" s="161"/>
      <c r="I5" s="116"/>
      <c r="K5" s="161">
        <v>33.39</v>
      </c>
      <c r="L5" s="161">
        <v>2</v>
      </c>
      <c r="M5" s="161">
        <v>1</v>
      </c>
      <c r="N5" s="161">
        <f t="shared" si="1"/>
        <v>66.78</v>
      </c>
    </row>
    <row r="6" spans="3:14" ht="20.25" customHeight="1">
      <c r="C6" s="161">
        <f>2+3+0.5</f>
        <v>5.5</v>
      </c>
      <c r="D6" s="161">
        <v>11</v>
      </c>
      <c r="E6" s="161">
        <f t="shared" si="0"/>
        <v>60.5</v>
      </c>
      <c r="F6" s="161">
        <v>3.5</v>
      </c>
      <c r="G6" s="161">
        <f t="shared" si="2"/>
        <v>211.75</v>
      </c>
      <c r="H6" s="161"/>
      <c r="I6" s="116"/>
      <c r="K6" s="161">
        <v>2.5</v>
      </c>
      <c r="L6" s="161">
        <v>2</v>
      </c>
      <c r="M6" s="161">
        <v>1</v>
      </c>
      <c r="N6" s="161">
        <f t="shared" si="1"/>
        <v>5</v>
      </c>
    </row>
    <row r="7" spans="3:14" ht="20.25" customHeight="1">
      <c r="C7" s="161">
        <v>2.25</v>
      </c>
      <c r="D7" s="161">
        <v>1</v>
      </c>
      <c r="E7" s="161">
        <f t="shared" si="0"/>
        <v>2.25</v>
      </c>
      <c r="F7" s="161">
        <v>3.5</v>
      </c>
      <c r="G7" s="161">
        <f t="shared" si="2"/>
        <v>7.875</v>
      </c>
      <c r="H7" s="161"/>
      <c r="I7" s="116"/>
      <c r="K7" s="161">
        <v>3.46</v>
      </c>
      <c r="L7" s="161">
        <v>2</v>
      </c>
      <c r="M7" s="161">
        <v>4</v>
      </c>
      <c r="N7" s="161">
        <f t="shared" si="1"/>
        <v>27.68</v>
      </c>
    </row>
    <row r="8" spans="3:14" ht="20.25" customHeight="1">
      <c r="C8" s="161">
        <f>(3.46*9)+2.25</f>
        <v>33.39</v>
      </c>
      <c r="D8" s="161">
        <v>1</v>
      </c>
      <c r="E8" s="161">
        <f t="shared" si="0"/>
        <v>33.39</v>
      </c>
      <c r="F8" s="161">
        <v>4.5</v>
      </c>
      <c r="G8" s="161">
        <f t="shared" si="2"/>
        <v>150.255</v>
      </c>
      <c r="H8" s="161"/>
      <c r="I8" s="116"/>
      <c r="K8" s="161">
        <v>5.29</v>
      </c>
      <c r="L8" s="161">
        <v>2</v>
      </c>
      <c r="M8" s="161">
        <v>1</v>
      </c>
      <c r="N8" s="161">
        <f t="shared" si="1"/>
        <v>10.58</v>
      </c>
    </row>
    <row r="9" spans="3:9" ht="20.25" customHeight="1">
      <c r="C9" s="161">
        <v>3.46</v>
      </c>
      <c r="D9" s="161">
        <v>8</v>
      </c>
      <c r="E9" s="161">
        <f t="shared" si="0"/>
        <v>27.68</v>
      </c>
      <c r="F9" s="161">
        <v>3.5</v>
      </c>
      <c r="G9" s="161">
        <f t="shared" si="2"/>
        <v>96.88</v>
      </c>
      <c r="H9" s="161"/>
      <c r="I9" s="116">
        <f>704.9*3</f>
        <v>2114.7</v>
      </c>
    </row>
    <row r="10" spans="3:9" ht="20.25" customHeight="1">
      <c r="C10" s="161">
        <v>5.29</v>
      </c>
      <c r="D10" s="161">
        <v>2</v>
      </c>
      <c r="E10" s="161">
        <f t="shared" si="0"/>
        <v>10.58</v>
      </c>
      <c r="F10" s="161">
        <v>3.5</v>
      </c>
      <c r="G10" s="161">
        <f t="shared" si="2"/>
        <v>37.03</v>
      </c>
      <c r="H10" s="161"/>
      <c r="I10" s="116"/>
    </row>
    <row r="11" spans="3:9" ht="20.25" customHeight="1">
      <c r="C11" s="161"/>
      <c r="D11" s="161"/>
      <c r="E11" s="161"/>
      <c r="F11" s="161">
        <v>3.5</v>
      </c>
      <c r="G11" s="161">
        <f t="shared" si="2"/>
        <v>0</v>
      </c>
      <c r="H11" s="161"/>
      <c r="I11" s="116"/>
    </row>
    <row r="12" spans="3:9" ht="20.25" customHeight="1">
      <c r="C12" s="161"/>
      <c r="D12" s="161"/>
      <c r="E12" s="161"/>
      <c r="F12" s="161">
        <v>3.5</v>
      </c>
      <c r="G12" s="161">
        <f t="shared" si="2"/>
        <v>0</v>
      </c>
      <c r="H12" s="161"/>
      <c r="I12" s="116"/>
    </row>
    <row r="13" spans="3:9" ht="20.25" customHeight="1">
      <c r="C13" s="161">
        <v>2.5</v>
      </c>
      <c r="D13" s="161">
        <v>2</v>
      </c>
      <c r="E13" s="161">
        <f>D13*C13</f>
        <v>5</v>
      </c>
      <c r="F13" s="161">
        <v>3.5</v>
      </c>
      <c r="G13" s="161">
        <f t="shared" si="2"/>
        <v>17.5</v>
      </c>
      <c r="H13" s="161"/>
      <c r="I13" s="116"/>
    </row>
    <row r="14" spans="3:9" ht="20.25" customHeight="1">
      <c r="C14" s="161">
        <v>1.5</v>
      </c>
      <c r="D14" s="161">
        <v>2</v>
      </c>
      <c r="E14" s="161">
        <f>D14*C14</f>
        <v>3</v>
      </c>
      <c r="F14" s="161">
        <v>3.5</v>
      </c>
      <c r="G14" s="161">
        <f t="shared" si="2"/>
        <v>10.5</v>
      </c>
      <c r="H14" s="161"/>
      <c r="I14" s="116"/>
    </row>
    <row r="15" spans="3:9" ht="20.25" customHeight="1">
      <c r="C15" s="161">
        <f>(3.46*9)+2.25</f>
        <v>33.39</v>
      </c>
      <c r="D15" s="161">
        <v>1</v>
      </c>
      <c r="E15" s="161">
        <f>D15*C15</f>
        <v>33.39</v>
      </c>
      <c r="F15" s="161">
        <v>4.5</v>
      </c>
      <c r="G15" s="161">
        <f t="shared" si="2"/>
        <v>150.255</v>
      </c>
      <c r="H15" s="161"/>
      <c r="I15" s="116"/>
    </row>
    <row r="16" spans="3:9" ht="20.25" customHeight="1">
      <c r="C16" s="161">
        <f>23.7-11.8+0.1</f>
        <v>11.999999999999998</v>
      </c>
      <c r="D16" s="161">
        <v>1</v>
      </c>
      <c r="E16" s="161">
        <f>D16*C16</f>
        <v>11.999999999999998</v>
      </c>
      <c r="F16" s="161">
        <v>4.5</v>
      </c>
      <c r="G16" s="161">
        <f>F16*E16</f>
        <v>53.99999999999999</v>
      </c>
      <c r="H16" s="161"/>
      <c r="I16" s="116"/>
    </row>
    <row r="17" spans="3:9" ht="20.25" customHeight="1">
      <c r="C17" s="116"/>
      <c r="D17" s="116"/>
      <c r="E17" s="116"/>
      <c r="F17" s="116"/>
      <c r="I17" s="116"/>
    </row>
    <row r="23" spans="3:5" ht="15.75">
      <c r="C23" s="164" t="s">
        <v>374</v>
      </c>
      <c r="D23" s="165"/>
      <c r="E23" s="163">
        <v>2031.91</v>
      </c>
    </row>
    <row r="24" spans="3:5" ht="15">
      <c r="C24" s="169">
        <v>38.06</v>
      </c>
      <c r="D24" s="162">
        <v>9.46</v>
      </c>
      <c r="E24" s="170">
        <f>D24*C24</f>
        <v>360.04760000000005</v>
      </c>
    </row>
    <row r="25" spans="3:5" ht="15">
      <c r="C25" s="169">
        <f>33.39+((3.46*4+5.29))</f>
        <v>52.519999999999996</v>
      </c>
      <c r="D25" s="162">
        <v>2.5</v>
      </c>
      <c r="E25" s="170">
        <f>D25*C25</f>
        <v>131.29999999999998</v>
      </c>
    </row>
    <row r="26" spans="3:5" ht="15">
      <c r="C26" s="169">
        <f>3.6*4</f>
        <v>14.4</v>
      </c>
      <c r="D26" s="162">
        <v>2.6</v>
      </c>
      <c r="E26" s="170">
        <f>D26*C26</f>
        <v>37.440000000000005</v>
      </c>
    </row>
    <row r="27" spans="3:5" ht="15">
      <c r="C27" s="171">
        <v>5.6</v>
      </c>
      <c r="D27" s="172">
        <f>2.5+1.5</f>
        <v>4</v>
      </c>
      <c r="E27" s="173">
        <f>D27*C27</f>
        <v>22.4</v>
      </c>
    </row>
    <row r="28" ht="12.75">
      <c r="E28" s="116"/>
    </row>
    <row r="31" spans="3:5" ht="15.75">
      <c r="C31" s="164" t="s">
        <v>375</v>
      </c>
      <c r="D31" s="165"/>
      <c r="E31" s="174"/>
    </row>
    <row r="33" spans="3:5" ht="15">
      <c r="C33" s="175" t="s">
        <v>267</v>
      </c>
      <c r="D33" s="176"/>
      <c r="E33" s="177">
        <v>2911</v>
      </c>
    </row>
    <row r="34" spans="3:5" ht="15">
      <c r="C34" s="169">
        <v>49.88</v>
      </c>
      <c r="D34" s="162">
        <v>12.96</v>
      </c>
      <c r="E34" s="170">
        <f>D34*C34</f>
        <v>646.4448000000001</v>
      </c>
    </row>
    <row r="35" spans="3:5" ht="15">
      <c r="C35" s="169">
        <f>(3.6*4)</f>
        <v>14.4</v>
      </c>
      <c r="D35" s="162">
        <v>3</v>
      </c>
      <c r="E35" s="170">
        <f>D35*C35</f>
        <v>43.2</v>
      </c>
    </row>
    <row r="36" spans="3:5" ht="15">
      <c r="C36" s="169">
        <v>5.3</v>
      </c>
      <c r="D36" s="162">
        <v>4.5</v>
      </c>
      <c r="E36" s="170">
        <f>D36*C36</f>
        <v>23.849999999999998</v>
      </c>
    </row>
    <row r="37" spans="3:5" ht="15">
      <c r="C37" s="171"/>
      <c r="D37" s="172"/>
      <c r="E37" s="173"/>
    </row>
    <row r="39" spans="3:5" ht="15">
      <c r="C39" s="175" t="s">
        <v>376</v>
      </c>
      <c r="D39" s="176"/>
      <c r="E39" s="177">
        <v>169</v>
      </c>
    </row>
    <row r="40" spans="3:5" ht="15">
      <c r="C40" s="169">
        <f>C34</f>
        <v>49.88</v>
      </c>
      <c r="D40" s="162">
        <v>1</v>
      </c>
      <c r="E40" s="170">
        <f>D40*C40</f>
        <v>49.88</v>
      </c>
    </row>
    <row r="41" spans="3:5" ht="15">
      <c r="C41" s="169">
        <f>C35+C36</f>
        <v>19.7</v>
      </c>
      <c r="D41" s="162">
        <v>1</v>
      </c>
      <c r="E41" s="170">
        <f>D41*C41</f>
        <v>19.7</v>
      </c>
    </row>
    <row r="43" spans="3:5" ht="15">
      <c r="C43" s="175" t="s">
        <v>377</v>
      </c>
      <c r="D43" s="176"/>
      <c r="E43" s="177">
        <v>258.69</v>
      </c>
    </row>
    <row r="44" spans="3:5" ht="15">
      <c r="C44" s="169">
        <f>C34</f>
        <v>49.88</v>
      </c>
      <c r="D44" s="162">
        <v>2</v>
      </c>
      <c r="E44" s="170">
        <f>D44*C44</f>
        <v>99.76</v>
      </c>
    </row>
    <row r="45" spans="3:5" ht="15">
      <c r="C45" s="169">
        <f>C35+C36</f>
        <v>19.7</v>
      </c>
      <c r="D45" s="162">
        <v>2</v>
      </c>
      <c r="E45" s="170">
        <f>D45*C45</f>
        <v>39.4</v>
      </c>
    </row>
    <row r="46" spans="3:5" ht="15">
      <c r="C46" s="169">
        <v>12.96</v>
      </c>
      <c r="D46" s="162">
        <v>2</v>
      </c>
      <c r="E46" s="170">
        <f>D46*C46</f>
        <v>25.92</v>
      </c>
    </row>
    <row r="47" spans="3:5" ht="15">
      <c r="C47" s="171">
        <v>4.5</v>
      </c>
      <c r="D47" s="172">
        <v>2</v>
      </c>
      <c r="E47" s="173">
        <f>D47*C47</f>
        <v>9</v>
      </c>
    </row>
    <row r="48" ht="15">
      <c r="E48" s="170"/>
    </row>
    <row r="52" spans="3:6" ht="15">
      <c r="C52" s="175" t="s">
        <v>379</v>
      </c>
      <c r="D52" s="176"/>
      <c r="E52" s="176"/>
      <c r="F52" s="177">
        <f>SUM(F53:F56)</f>
        <v>113.388</v>
      </c>
    </row>
    <row r="53" spans="3:6" ht="12.75">
      <c r="C53" s="14">
        <v>20</v>
      </c>
      <c r="D53" s="14">
        <v>2.2</v>
      </c>
      <c r="E53" s="14">
        <v>1.7</v>
      </c>
      <c r="F53" s="14">
        <f>C53*D53*E53</f>
        <v>74.8</v>
      </c>
    </row>
    <row r="54" spans="3:6" ht="12.75">
      <c r="C54" s="14">
        <v>12</v>
      </c>
      <c r="D54" s="14">
        <v>1.27</v>
      </c>
      <c r="E54" s="14">
        <v>2.2</v>
      </c>
      <c r="F54" s="14">
        <f>C54*D54*E54</f>
        <v>33.528000000000006</v>
      </c>
    </row>
    <row r="55" spans="3:6" ht="12.75">
      <c r="C55" s="14">
        <v>2</v>
      </c>
      <c r="D55" s="14">
        <v>1.15</v>
      </c>
      <c r="E55" s="14">
        <v>2.2</v>
      </c>
      <c r="F55" s="14">
        <f>C55*D55*E55</f>
        <v>5.06</v>
      </c>
    </row>
    <row r="56" ht="12.75">
      <c r="C56" s="178">
        <f>SUM(C53:C55)</f>
        <v>34</v>
      </c>
    </row>
    <row r="59" spans="3:6" ht="15">
      <c r="C59" s="175" t="s">
        <v>381</v>
      </c>
      <c r="D59" s="176"/>
      <c r="E59" s="176"/>
      <c r="F59" s="177">
        <v>637.32</v>
      </c>
    </row>
    <row r="60" spans="3:6" ht="12.75">
      <c r="C60" s="14">
        <v>10</v>
      </c>
      <c r="D60" s="14">
        <v>3</v>
      </c>
      <c r="E60" s="14">
        <v>11</v>
      </c>
      <c r="F60" s="14">
        <f>C60*D60*E60</f>
        <v>330</v>
      </c>
    </row>
    <row r="61" spans="3:6" ht="12.75">
      <c r="C61" s="14"/>
      <c r="D61" s="14"/>
      <c r="E61" s="14"/>
      <c r="F61" s="14"/>
    </row>
    <row r="62" spans="3:6" ht="12.75">
      <c r="C62" s="14"/>
      <c r="D62" s="14"/>
      <c r="E62" s="14"/>
      <c r="F62" s="14"/>
    </row>
    <row r="64" spans="3:11" ht="15.75">
      <c r="C64" s="164" t="s">
        <v>382</v>
      </c>
      <c r="D64" s="165"/>
      <c r="E64" s="163">
        <v>2031.91</v>
      </c>
      <c r="I64" s="164" t="s">
        <v>397</v>
      </c>
      <c r="J64" s="165"/>
      <c r="K64" s="163">
        <f>SUM(K65:K68)</f>
        <v>544.5751</v>
      </c>
    </row>
    <row r="65" spans="3:11" ht="15">
      <c r="C65" s="169">
        <v>38.06</v>
      </c>
      <c r="D65" s="162">
        <v>9.46</v>
      </c>
      <c r="E65" s="170">
        <f>D65*C65</f>
        <v>360.04760000000005</v>
      </c>
      <c r="I65" s="169">
        <v>38.06</v>
      </c>
      <c r="J65" s="162">
        <v>9.46</v>
      </c>
      <c r="K65" s="170">
        <f>J65*I65</f>
        <v>360.04760000000005</v>
      </c>
    </row>
    <row r="66" spans="3:11" ht="15">
      <c r="C66" s="169">
        <f>33.39+((27.68+5.29)/2)</f>
        <v>49.875</v>
      </c>
      <c r="D66" s="162">
        <v>2.5</v>
      </c>
      <c r="E66" s="170">
        <f>D66*C66</f>
        <v>124.6875</v>
      </c>
      <c r="I66" s="169">
        <f>33.39+((27.68+5.29)/2)</f>
        <v>49.875</v>
      </c>
      <c r="J66" s="162">
        <v>2.5</v>
      </c>
      <c r="K66" s="170">
        <f>J66*I66</f>
        <v>124.6875</v>
      </c>
    </row>
    <row r="67" spans="3:11" ht="15">
      <c r="C67" s="169">
        <f>3.6*4</f>
        <v>14.4</v>
      </c>
      <c r="D67" s="162">
        <v>2.6</v>
      </c>
      <c r="E67" s="170">
        <f>D67*C67</f>
        <v>37.440000000000005</v>
      </c>
      <c r="I67" s="169">
        <f>3.6*4</f>
        <v>14.4</v>
      </c>
      <c r="J67" s="162">
        <v>2.6</v>
      </c>
      <c r="K67" s="170">
        <f>J67*I67</f>
        <v>37.440000000000005</v>
      </c>
    </row>
    <row r="68" spans="3:11" ht="15">
      <c r="C68" s="171">
        <v>5.6</v>
      </c>
      <c r="D68" s="172">
        <f>2.5+1.5</f>
        <v>4</v>
      </c>
      <c r="E68" s="173">
        <f>D68*C68</f>
        <v>22.4</v>
      </c>
      <c r="I68" s="171">
        <v>5.6</v>
      </c>
      <c r="J68" s="172">
        <f>2.5+1.5</f>
        <v>4</v>
      </c>
      <c r="K68" s="173">
        <f>J68*I68</f>
        <v>22.4</v>
      </c>
    </row>
    <row r="71" spans="3:5" ht="15.75">
      <c r="C71" s="164" t="s">
        <v>383</v>
      </c>
      <c r="D71" s="165"/>
      <c r="E71" s="163">
        <v>400</v>
      </c>
    </row>
    <row r="72" spans="3:5" ht="15">
      <c r="C72" s="169">
        <v>1284</v>
      </c>
      <c r="D72" s="162">
        <v>2</v>
      </c>
      <c r="E72" s="170">
        <f>D72*C72</f>
        <v>2568</v>
      </c>
    </row>
    <row r="73" spans="3:5" ht="15">
      <c r="C73" s="169">
        <v>12</v>
      </c>
      <c r="D73" s="172">
        <v>1</v>
      </c>
      <c r="E73" s="173">
        <f>D73*C73</f>
        <v>12</v>
      </c>
    </row>
    <row r="76" spans="3:10" ht="12.75">
      <c r="C76" s="183" t="s">
        <v>85</v>
      </c>
      <c r="D76" s="181"/>
      <c r="E76" s="181"/>
      <c r="F76" s="181"/>
      <c r="G76" s="181"/>
      <c r="H76" s="181"/>
      <c r="I76" s="181"/>
      <c r="J76" s="181"/>
    </row>
    <row r="77" spans="3:11" ht="12.75">
      <c r="C77" s="184" t="s">
        <v>64</v>
      </c>
      <c r="D77" s="184" t="s">
        <v>385</v>
      </c>
      <c r="E77" s="181"/>
      <c r="F77" s="186" t="s">
        <v>392</v>
      </c>
      <c r="G77" s="184" t="s">
        <v>390</v>
      </c>
      <c r="H77" s="184"/>
      <c r="I77" s="184" t="s">
        <v>386</v>
      </c>
      <c r="J77" s="186" t="s">
        <v>392</v>
      </c>
      <c r="K77" s="184" t="s">
        <v>390</v>
      </c>
    </row>
    <row r="78" spans="3:11" ht="12.75">
      <c r="C78" s="185" t="s">
        <v>388</v>
      </c>
      <c r="D78" s="182">
        <f>(3.46+9.46)*2</f>
        <v>25.840000000000003</v>
      </c>
      <c r="E78" s="182">
        <v>3</v>
      </c>
      <c r="F78" s="182">
        <v>11</v>
      </c>
      <c r="G78" s="182">
        <f>E78*D78*F78</f>
        <v>852.7200000000001</v>
      </c>
      <c r="H78" s="182"/>
      <c r="I78" s="182">
        <v>27.4</v>
      </c>
      <c r="J78" s="182">
        <v>11</v>
      </c>
      <c r="K78" s="182">
        <f aca="true" t="shared" si="3" ref="K78:K83">J78*I78</f>
        <v>301.4</v>
      </c>
    </row>
    <row r="79" spans="3:11" ht="12.75">
      <c r="C79" s="185" t="s">
        <v>387</v>
      </c>
      <c r="D79" s="182">
        <v>27.41</v>
      </c>
      <c r="E79" s="182"/>
      <c r="F79" s="182"/>
      <c r="G79" s="182"/>
      <c r="H79" s="182"/>
      <c r="I79" s="182">
        <v>5.56</v>
      </c>
      <c r="J79" s="182">
        <v>11</v>
      </c>
      <c r="K79" s="182">
        <f t="shared" si="3"/>
        <v>61.16</v>
      </c>
    </row>
    <row r="80" spans="3:11" ht="12.75">
      <c r="C80" s="185" t="s">
        <v>389</v>
      </c>
      <c r="D80" s="182">
        <f>(52.52+2.5)*2</f>
        <v>110.04</v>
      </c>
      <c r="E80" s="182">
        <v>3</v>
      </c>
      <c r="F80" s="182">
        <v>1</v>
      </c>
      <c r="G80" s="182">
        <f>E80*D80*F80</f>
        <v>330.12</v>
      </c>
      <c r="H80" s="182"/>
      <c r="I80" s="182">
        <f>(52.52*2.5)</f>
        <v>131.3</v>
      </c>
      <c r="J80" s="182">
        <v>1</v>
      </c>
      <c r="K80" s="182">
        <f t="shared" si="3"/>
        <v>131.3</v>
      </c>
    </row>
    <row r="81" spans="3:11" ht="12.75">
      <c r="C81" s="185" t="s">
        <v>391</v>
      </c>
      <c r="D81" s="182">
        <f>(3.46+2.48)*2</f>
        <v>11.879999999999999</v>
      </c>
      <c r="E81" s="182">
        <v>3</v>
      </c>
      <c r="F81" s="182">
        <v>3</v>
      </c>
      <c r="G81" s="182">
        <f>E81*D81*F81</f>
        <v>106.92</v>
      </c>
      <c r="H81" s="182"/>
      <c r="I81" s="182">
        <f>8.65*4</f>
        <v>34.6</v>
      </c>
      <c r="J81" s="182">
        <v>1</v>
      </c>
      <c r="K81" s="182">
        <f t="shared" si="3"/>
        <v>34.6</v>
      </c>
    </row>
    <row r="82" spans="3:11" ht="12.75">
      <c r="C82" s="185" t="s">
        <v>393</v>
      </c>
      <c r="D82" s="182">
        <f>(2.29+3.93)*2</f>
        <v>12.440000000000001</v>
      </c>
      <c r="E82" s="182">
        <v>3</v>
      </c>
      <c r="F82" s="182">
        <v>1</v>
      </c>
      <c r="G82" s="182">
        <f>E82*D82*F82</f>
        <v>37.32000000000001</v>
      </c>
      <c r="H82" s="182"/>
      <c r="I82" s="182">
        <v>20.79</v>
      </c>
      <c r="J82" s="182">
        <v>1</v>
      </c>
      <c r="K82" s="182">
        <f t="shared" si="3"/>
        <v>20.79</v>
      </c>
    </row>
    <row r="83" spans="3:11" ht="12.75">
      <c r="C83" s="185" t="s">
        <v>395</v>
      </c>
      <c r="D83" s="182">
        <f>(12+50.52)</f>
        <v>62.52</v>
      </c>
      <c r="E83" s="182">
        <v>3</v>
      </c>
      <c r="F83" s="182">
        <v>1</v>
      </c>
      <c r="G83" s="182">
        <f>E83*D83*F83</f>
        <v>187.56</v>
      </c>
      <c r="H83" s="182"/>
      <c r="I83" s="182"/>
      <c r="J83" s="182">
        <v>1</v>
      </c>
      <c r="K83" s="182">
        <f t="shared" si="3"/>
        <v>0</v>
      </c>
    </row>
    <row r="84" spans="7:11" ht="12.75">
      <c r="G84" s="188">
        <v>4229</v>
      </c>
      <c r="I84" s="189" t="s">
        <v>61</v>
      </c>
      <c r="K84" s="188">
        <v>2157</v>
      </c>
    </row>
    <row r="85" ht="12.75">
      <c r="I85" s="190">
        <f>G84+K84</f>
        <v>6386</v>
      </c>
    </row>
    <row r="86" spans="3:11" ht="12.75">
      <c r="C86" s="185" t="s">
        <v>394</v>
      </c>
      <c r="D86" s="182">
        <f>(12+50.52+50.52+50.52)</f>
        <v>163.56</v>
      </c>
      <c r="E86" s="182">
        <v>4.5</v>
      </c>
      <c r="F86" s="182">
        <v>1</v>
      </c>
      <c r="G86" s="188">
        <v>1284</v>
      </c>
      <c r="H86" s="182"/>
      <c r="I86" s="182"/>
      <c r="J86" s="182">
        <v>1</v>
      </c>
      <c r="K86" s="182">
        <f>J86*I86</f>
        <v>0</v>
      </c>
    </row>
    <row r="89" ht="12.75">
      <c r="H89" s="180"/>
    </row>
    <row r="91" ht="12.75">
      <c r="C91" s="24" t="s">
        <v>384</v>
      </c>
    </row>
  </sheetData>
  <sheetProtection/>
  <mergeCells count="1">
    <mergeCell ref="K2:M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Porto Primavera</dc:title>
  <dc:subject/>
  <dc:creator>absouza@saude.sp.gov.br</dc:creator>
  <cp:keywords/>
  <dc:description>Criado por eng. Carlos Francisco Tarige Britto 
CREA SP 5070862092
Ajuste e revisão eng. Alfredo Americo Borges de Souza (GTE/CGA da SES)
Formatação: Pedro Issau Omuro</dc:description>
  <cp:lastModifiedBy>Geraldo Aniceto Vaz Filho</cp:lastModifiedBy>
  <cp:lastPrinted>2022-05-04T18:12:13Z</cp:lastPrinted>
  <dcterms:created xsi:type="dcterms:W3CDTF">2007-07-28T19:40:13Z</dcterms:created>
  <dcterms:modified xsi:type="dcterms:W3CDTF">2022-05-04T18:19:45Z</dcterms:modified>
  <cp:category/>
  <cp:version/>
  <cp:contentType/>
  <cp:contentStatus/>
</cp:coreProperties>
</file>